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15480" windowHeight="11640" tabRatio="910" firstSheet="5" activeTab="5"/>
  </bookViews>
  <sheets>
    <sheet name="Tabela cenowa wartość szac" sheetId="1" r:id="rId1"/>
    <sheet name="Tabela cenowa wzór" sheetId="2" r:id="rId2"/>
    <sheet name="Tabela cenowa załącznik" sheetId="3" r:id="rId3"/>
    <sheet name="Tabela cenowa wartość szac 2012" sheetId="4" r:id="rId4"/>
    <sheet name="Tabela cenowa szac AŁ" sheetId="5" r:id="rId5"/>
    <sheet name="Tabela cenowa do SIWZ 2013" sheetId="6" r:id="rId6"/>
  </sheets>
  <definedNames/>
  <calcPr fullCalcOnLoad="1"/>
</workbook>
</file>

<file path=xl/sharedStrings.xml><?xml version="1.0" encoding="utf-8"?>
<sst xmlns="http://schemas.openxmlformats.org/spreadsheetml/2006/main" count="362" uniqueCount="123">
  <si>
    <t>Lp.</t>
  </si>
  <si>
    <t>Zakres sprzątania</t>
  </si>
  <si>
    <t>ROZLICZENIA MIESIĘCZNE</t>
  </si>
  <si>
    <t>Sprzątanie codzienne – w dniach poniedziałek - piątek</t>
  </si>
  <si>
    <t>1.1</t>
  </si>
  <si>
    <t>X</t>
  </si>
  <si>
    <t>1.2</t>
  </si>
  <si>
    <t>1.3</t>
  </si>
  <si>
    <t>Sprzątanie raz w tygodniu</t>
  </si>
  <si>
    <t>2.1</t>
  </si>
  <si>
    <t>RAZEM</t>
  </si>
  <si>
    <t>X </t>
  </si>
  <si>
    <t>ROZLICZENIA W CIĄGU ROKU</t>
  </si>
  <si>
    <t>Sprzątanie w roku</t>
  </si>
  <si>
    <t>3.1</t>
  </si>
  <si>
    <t>3.2</t>
  </si>
  <si>
    <t>3.3</t>
  </si>
  <si>
    <t>3.4</t>
  </si>
  <si>
    <t>Suma netto</t>
  </si>
  <si>
    <t>Suma z VAT (brutto)</t>
  </si>
  <si>
    <t>zł</t>
  </si>
  <si>
    <t xml:space="preserve">Liczba rozliczeń okresie realizowania usług </t>
  </si>
  <si>
    <t>Kwota VAT zł</t>
  </si>
  <si>
    <t xml:space="preserve">obliczona wg. stawki: </t>
  </si>
  <si>
    <r>
      <t xml:space="preserve">Cena jednostkowa netto za wykonanie usług </t>
    </r>
    <r>
      <rPr>
        <i/>
        <sz val="10"/>
        <rFont val="Arial"/>
        <family val="2"/>
      </rPr>
      <t>(miesięcznie  lub  jednorazowo w roku</t>
    </r>
    <r>
      <rPr>
        <sz val="10"/>
        <rFont val="Arial"/>
        <family val="2"/>
      </rPr>
      <t xml:space="preserve">) </t>
    </r>
  </si>
  <si>
    <r>
      <t>Pomieszczenia biurowe (wykładzina dywanowa - łączna powierzchnia 1 726,74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</si>
  <si>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r>
      <t>Pomieszczenia sanitarne (terakota - łączna powierzchnia 91,89 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</si>
  <si>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r>
      <t>Ciągi komunikacyjne (tarkiet, marmur, kauczuk -  łączna powierzchnia 644,75 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</si>
  <si>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Pomieszczenia techniczne (pcv - łączna powierzchnia 269,38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</si>
  <si>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Mycie okien - ram oraz powierzchni szklanych (łączna powirzchnia 2018,77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</si>
  <si>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Mycie żaluzji (łączna powirzchnia 643,24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</si>
  <si>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Mycie podłóg betonowych, kauczukowych oraz lastryko - pomieszczenia magazynowe w piwnicach  (łączna powirzchnia 466,53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</si>
  <si>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Sprzątanie pomieszczeń technicznych (łączna powirzchnia 157,08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</si>
  <si>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Cena netto usług (kol. 3 x kol. 4)</t>
  </si>
  <si>
    <r>
      <t>Odnawianie powłok ochronnych wykładziny PCV tarkiet  (akrylowanie - korytarze VI piętra - łączna powierzchnia 537,59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</si>
  <si>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Wartość netto usług (kol. 3 x kol. 4)</t>
  </si>
  <si>
    <r>
      <t>Mycie okien - ram oraz powierzchni szklanych (łączna powierzchnia 2 018,77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</si>
  <si>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Mycie podłóg betonowych, kauczukowych oraz lastryko - pomieszczenia magazynowe w piwnicach (łączna powierzchnia 466,53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</si>
  <si>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Sprzątanie pomieszczeń technicznych (łączna powierzchnia 157,08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</si>
  <si>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0,8 - 1,00</t>
  </si>
  <si>
    <t>0,5 - 0,8</t>
  </si>
  <si>
    <t>netto zł</t>
  </si>
  <si>
    <t>wydatki w 2011 r.</t>
  </si>
  <si>
    <t>2 - 2,9</t>
  </si>
  <si>
    <t xml:space="preserve"> 3,30 - 4</t>
  </si>
  <si>
    <t xml:space="preserve"> 7,20 - 10,00</t>
  </si>
  <si>
    <t>ok. 40% ww. kwoty</t>
  </si>
  <si>
    <r>
      <t>Pomieszczenia biurowe (wykładzina dywanowa - łączna powierzchnia 1 726,74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</si>
  <si>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Pomieszczenia sanitarne (terakota - łączna powierzchnia 91,89 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</si>
  <si>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Ciągi komunikacyjne (tarkiet, marmur, kauczuk -  łączna powierzchnia 644,75 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</si>
  <si>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Pomieszczenia techniczne (pcv - łączna powierzchnia 269,38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</si>
  <si>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Mycie okien - ram oraz powierzchni szklanych (łączna powirzchnia 2018,77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</si>
  <si>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Mycie żaluzji (łączna powirzchnia 643,24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</si>
  <si>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Odnawianie powłok ochronnych wykładziny PCV tarkiet  (akrylowanie - korytarze VI piętra - łączna powierzchnia 537,59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) </t>
    </r>
  </si>
  <si>
    <r>
      <t>Mycie podłóg betonowych, kauczukowych oraz lastryko - pomieszczenia magazynowe w piwnicach  (łączna powirzchnia 466,53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</si>
  <si>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Sprzątanie pomieszczeń technicznych (łączna powirzchnia 157,08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</si>
  <si>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Średnio</t>
  </si>
  <si>
    <r>
      <t>Zakres ceny za m</t>
    </r>
    <r>
      <rPr>
        <vertAlign val="superscript"/>
        <sz val="9"/>
        <rFont val="Arial"/>
        <family val="2"/>
      </rPr>
      <t>2</t>
    </r>
  </si>
  <si>
    <r>
      <t xml:space="preserve">Cena jednostkowa netto za wykonanie usług </t>
    </r>
    <r>
      <rPr>
        <i/>
        <sz val="9"/>
        <rFont val="Arial"/>
        <family val="2"/>
      </rPr>
      <t>(miesięcznie  lub  jednorazowo w roku</t>
    </r>
    <r>
      <rPr>
        <sz val="9"/>
        <rFont val="Arial"/>
        <family val="2"/>
      </rPr>
      <t xml:space="preserve">) </t>
    </r>
  </si>
  <si>
    <r>
      <t xml:space="preserve">3,5 - 5,5 </t>
    </r>
    <r>
      <rPr>
        <sz val="8"/>
        <rFont val="Arial"/>
        <family val="2"/>
      </rPr>
      <t>plus środki czystości</t>
    </r>
  </si>
  <si>
    <t>2,5 - 5,00</t>
  </si>
  <si>
    <t>0,5 - 1,00</t>
  </si>
  <si>
    <t xml:space="preserve"> 3,50 - 5,00</t>
  </si>
  <si>
    <t xml:space="preserve"> 7,20 - 12,00</t>
  </si>
  <si>
    <t>0,3 - 0,8</t>
  </si>
  <si>
    <r>
      <t>Pomieszczenia biurowe (wykładzina dywanowa - łączna powierzchnia 1726,74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</si>
  <si>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Piętro</t>
  </si>
  <si>
    <t xml:space="preserve">Powierzchnia biurowa </t>
  </si>
  <si>
    <t xml:space="preserve">Pomieszczenia sanitarne </t>
  </si>
  <si>
    <t xml:space="preserve">Ciągi komunikacyjne </t>
  </si>
  <si>
    <t>Pomieszczenia techniczne</t>
  </si>
  <si>
    <t xml:space="preserve">Pomieszczenia techniczne i magazynowe w piwnicach </t>
  </si>
  <si>
    <r>
      <t xml:space="preserve">sprzątanie codzienne (powierzchnia w m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</si>
  <si>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sprzątanie raz w tygodniu</t>
  </si>
  <si>
    <r>
      <t xml:space="preserve">- raz na kwartał (powierzchnia w m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</si>
  <si>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wykładzina</t>
  </si>
  <si>
    <t xml:space="preserve">terakota </t>
  </si>
  <si>
    <t>/ glazura</t>
  </si>
  <si>
    <t>korytarze</t>
  </si>
  <si>
    <t>schody VI - V p./ pow. przy windach</t>
  </si>
  <si>
    <t xml:space="preserve">sprzątanie </t>
  </si>
  <si>
    <t xml:space="preserve">mycie podłóg </t>
  </si>
  <si>
    <t>tarkiet</t>
  </si>
  <si>
    <t xml:space="preserve">marmur </t>
  </si>
  <si>
    <t>/ kauczuk</t>
  </si>
  <si>
    <t>beton/kauczuk</t>
  </si>
  <si>
    <t>lastryko</t>
  </si>
  <si>
    <t>/tarkiet</t>
  </si>
  <si>
    <t>beton</t>
  </si>
  <si>
    <t>/kauczuk</t>
  </si>
  <si>
    <t>lastryko/</t>
  </si>
  <si>
    <t xml:space="preserve">VI </t>
  </si>
  <si>
    <t>V</t>
  </si>
  <si>
    <t xml:space="preserve">I </t>
  </si>
  <si>
    <t>Parter</t>
  </si>
  <si>
    <t>Piwnice</t>
  </si>
  <si>
    <t>zamówienia uzupełniające 15%</t>
  </si>
  <si>
    <t>netto</t>
  </si>
  <si>
    <t>brutto</t>
  </si>
  <si>
    <r>
      <t>Cena za m</t>
    </r>
    <r>
      <rPr>
        <vertAlign val="superscript"/>
        <sz val="9"/>
        <rFont val="Arial"/>
        <family val="2"/>
      </rPr>
      <t>2</t>
    </r>
  </si>
  <si>
    <r>
      <t xml:space="preserve">Cena netto za wykonanie usług </t>
    </r>
    <r>
      <rPr>
        <i/>
        <sz val="9"/>
        <rFont val="Arial"/>
        <family val="2"/>
      </rPr>
      <t>(miesięcznie  lub  jednorazowo w roku</t>
    </r>
    <r>
      <rPr>
        <sz val="9"/>
        <rFont val="Arial"/>
        <family val="2"/>
      </rPr>
      <t xml:space="preserve">) </t>
    </r>
  </si>
  <si>
    <t>Powierzchnia okien</t>
  </si>
  <si>
    <r>
      <t xml:space="preserve"> w m</t>
    </r>
    <r>
      <rPr>
        <vertAlign val="superscript"/>
        <sz val="12"/>
        <rFont val="Times New Roman"/>
        <family val="1"/>
      </rPr>
      <t>2</t>
    </r>
  </si>
  <si>
    <r>
      <t>Ilość żaluzji (powierzchnia w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</si>
  <si>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Powierzchnie szklane</t>
  </si>
  <si>
    <t>VI</t>
  </si>
  <si>
    <t>I</t>
  </si>
  <si>
    <r>
      <t>Powierzchnia m</t>
    </r>
    <r>
      <rPr>
        <vertAlign val="superscript"/>
        <sz val="9"/>
        <rFont val="Arial"/>
        <family val="2"/>
      </rPr>
      <t>2</t>
    </r>
  </si>
  <si>
    <r>
      <t>Mycie okien - ram oraz powierzchni szklanych (łączna powirzchnia 1732,22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</si>
  <si>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KWOTA VAT zł</t>
  </si>
  <si>
    <t>RAZEM NETTO</t>
  </si>
  <si>
    <t>SUMA BRUTTO</t>
  </si>
  <si>
    <r>
      <t>Pomieszczenia biurowe (wykładzina dywanowa</t>
    </r>
    <r>
      <rPr>
        <sz val="9"/>
        <rFont val="Arial"/>
        <family val="2"/>
      </rPr>
      <t>)</t>
    </r>
  </si>
  <si>
    <r>
      <t>Pomieszczenia sanitarne (terakota</t>
    </r>
    <r>
      <rPr>
        <sz val="9"/>
        <rFont val="Arial"/>
        <family val="2"/>
      </rPr>
      <t>)</t>
    </r>
  </si>
  <si>
    <r>
      <t>Ciągi komunikacyjne (tarkiet, marmur, kauczuk</t>
    </r>
    <r>
      <rPr>
        <sz val="9"/>
        <rFont val="Arial"/>
        <family val="2"/>
      </rPr>
      <t>)</t>
    </r>
  </si>
  <si>
    <r>
      <t>Pomieszczenia techniczne (pcv</t>
    </r>
    <r>
      <rPr>
        <sz val="9"/>
        <rFont val="Arial"/>
        <family val="2"/>
      </rPr>
      <t>)</t>
    </r>
  </si>
  <si>
    <t xml:space="preserve">Mycie okien - ram oraz powierzchni szklanych </t>
  </si>
  <si>
    <t xml:space="preserve">Mycie żaluzji </t>
  </si>
  <si>
    <r>
      <t>Odnawianie powłok ochronnych wykładziny PCV tarkiet  (akrylowanie - korytarze VI piętra</t>
    </r>
    <r>
      <rPr>
        <sz val="9"/>
        <rFont val="Arial"/>
        <family val="2"/>
      </rPr>
      <t xml:space="preserve">) </t>
    </r>
  </si>
  <si>
    <t xml:space="preserve">Mycie podłóg betonowych, kauczukowych oraz lastryko - pomieszczenia magazynowe w piwnicach </t>
  </si>
  <si>
    <t xml:space="preserve">Sprzątanie pomieszczeń technicznych </t>
  </si>
  <si>
    <t xml:space="preserve">STAWKA VAT (%): </t>
  </si>
  <si>
    <t>ROZLICZENIA W CIĄGU TRWANIA UMOWY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</si>
</sst>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#,##0.00\ &quot;zł&quot;"/>
    <numFmt numFmtId="190" formatCode="#,##0.000000000"/>
    <numFmt numFmtId="191" formatCode="#,##0.0000000000"/>
    <numFmt numFmtId="192" formatCode="#,##0.000\ &quot;zł&quot;"/>
    <numFmt numFmtId="193" formatCode="#,##0.0000\ &quot;zł&quot;"/>
    <numFmt numFmtId="194" formatCode="#,##0.00000\ &quot;zł&quot;"/>
    <numFmt numFmtId="195" formatCode="#,##0.000000\ &quot;zł&quot;"/>
    <numFmt numFmtId="196" formatCode="#,##0.0000000\ &quot;zł&quot;"/>
    <numFmt numFmtId="197" formatCode="#,##0.00000000\ &quot;zł&quot;"/>
    <numFmt numFmtId="198" formatCode="#,##0.000000000\ &quot;zł&quot;"/>
    <numFmt numFmtId="199" formatCode="#,##0.0000000000\ &quot;zł&quot;"/>
    <numFmt numFmtId="200" formatCode="#,##0.00000000000\ &quot;zł&quot;"/>
    <numFmt numFmtId="201" formatCode="#,##0.0\ &quot;zł&quot;"/>
    <numFmt numFmtId="202" formatCode="#,##0\ &quot;zł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9" fontId="2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33" borderId="10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89" fontId="0" fillId="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189" fontId="2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9" fontId="2" fillId="33" borderId="0" xfId="0" applyNumberFormat="1" applyFont="1" applyFill="1" applyBorder="1" applyAlignment="1">
      <alignment horizontal="center"/>
    </xf>
    <xf numFmtId="189" fontId="2" fillId="0" borderId="21" xfId="0" applyNumberFormat="1" applyFont="1" applyBorder="1" applyAlignment="1">
      <alignment horizontal="right" vertical="center" wrapText="1"/>
    </xf>
    <xf numFmtId="189" fontId="0" fillId="33" borderId="21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15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89" fontId="9" fillId="33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9" fontId="9" fillId="0" borderId="0" xfId="0" applyNumberFormat="1" applyFont="1" applyAlignment="1">
      <alignment/>
    </xf>
    <xf numFmtId="4" fontId="11" fillId="0" borderId="13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89" fontId="10" fillId="0" borderId="11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189" fontId="10" fillId="0" borderId="2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/>
    </xf>
    <xf numFmtId="189" fontId="9" fillId="33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9" fontId="10" fillId="33" borderId="0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/>
    </xf>
    <xf numFmtId="189" fontId="10" fillId="0" borderId="20" xfId="0" applyNumberFormat="1" applyFont="1" applyBorder="1" applyAlignment="1">
      <alignment/>
    </xf>
    <xf numFmtId="189" fontId="9" fillId="0" borderId="0" xfId="0" applyNumberFormat="1" applyFont="1" applyAlignment="1">
      <alignment horizontal="center"/>
    </xf>
    <xf numFmtId="189" fontId="9" fillId="0" borderId="0" xfId="0" applyNumberFormat="1" applyFont="1" applyAlignment="1">
      <alignment horizontal="left"/>
    </xf>
    <xf numFmtId="0" fontId="13" fillId="0" borderId="12" xfId="0" applyFont="1" applyBorder="1" applyAlignment="1">
      <alignment vertical="center" wrapText="1"/>
    </xf>
    <xf numFmtId="4" fontId="13" fillId="0" borderId="12" xfId="0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0" fillId="0" borderId="18" xfId="0" applyNumberFormat="1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89" fontId="9" fillId="34" borderId="10" xfId="0" applyNumberFormat="1" applyFont="1" applyFill="1" applyBorder="1" applyAlignment="1">
      <alignment horizontal="right" vertical="center" wrapText="1"/>
    </xf>
    <xf numFmtId="4" fontId="9" fillId="34" borderId="13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5" fillId="0" borderId="17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15" fillId="35" borderId="23" xfId="0" applyFont="1" applyFill="1" applyBorder="1" applyAlignment="1">
      <alignment horizontal="center" wrapText="1"/>
    </xf>
    <xf numFmtId="0" fontId="0" fillId="35" borderId="24" xfId="0" applyFill="1" applyBorder="1" applyAlignment="1">
      <alignment wrapText="1"/>
    </xf>
    <xf numFmtId="0" fontId="15" fillId="35" borderId="25" xfId="0" applyFont="1" applyFill="1" applyBorder="1" applyAlignment="1">
      <alignment horizontal="center" wrapText="1"/>
    </xf>
    <xf numFmtId="0" fontId="15" fillId="35" borderId="26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0" fontId="15" fillId="35" borderId="23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right"/>
    </xf>
    <xf numFmtId="0" fontId="15" fillId="35" borderId="28" xfId="0" applyFont="1" applyFill="1" applyBorder="1" applyAlignment="1">
      <alignment horizontal="right"/>
    </xf>
    <xf numFmtId="0" fontId="15" fillId="35" borderId="25" xfId="0" applyFont="1" applyFill="1" applyBorder="1" applyAlignment="1">
      <alignment horizontal="right"/>
    </xf>
    <xf numFmtId="0" fontId="14" fillId="35" borderId="25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left"/>
    </xf>
    <xf numFmtId="0" fontId="15" fillId="35" borderId="28" xfId="0" applyFont="1" applyFill="1" applyBorder="1" applyAlignment="1">
      <alignment horizontal="left"/>
    </xf>
    <xf numFmtId="0" fontId="15" fillId="35" borderId="28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right"/>
    </xf>
    <xf numFmtId="0" fontId="15" fillId="35" borderId="29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14" fillId="0" borderId="30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35" borderId="28" xfId="0" applyFont="1" applyFill="1" applyBorder="1" applyAlignment="1">
      <alignment horizontal="center"/>
    </xf>
    <xf numFmtId="2" fontId="9" fillId="33" borderId="18" xfId="0" applyNumberFormat="1" applyFont="1" applyFill="1" applyBorder="1" applyAlignment="1" applyProtection="1">
      <alignment horizontal="center" vertical="center" wrapText="1"/>
      <protection/>
    </xf>
    <xf numFmtId="2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9" fontId="10" fillId="33" borderId="18" xfId="0" applyNumberFormat="1" applyFont="1" applyFill="1" applyBorder="1" applyAlignment="1" applyProtection="1">
      <alignment horizontal="center"/>
      <protection locked="0"/>
    </xf>
    <xf numFmtId="9" fontId="10" fillId="33" borderId="10" xfId="0" applyNumberFormat="1" applyFont="1" applyFill="1" applyBorder="1" applyAlignment="1" applyProtection="1">
      <alignment horizontal="center"/>
      <protection locked="0"/>
    </xf>
    <xf numFmtId="168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9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2" fontId="9" fillId="0" borderId="19" xfId="0" applyNumberFormat="1" applyFont="1" applyBorder="1" applyAlignment="1" applyProtection="1">
      <alignment horizontal="center" vertical="center" wrapText="1"/>
      <protection/>
    </xf>
    <xf numFmtId="2" fontId="9" fillId="33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189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178" fontId="9" fillId="0" borderId="0" xfId="0" applyNumberFormat="1" applyFont="1" applyAlignment="1" applyProtection="1">
      <alignment/>
      <protection/>
    </xf>
    <xf numFmtId="189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89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9" fontId="10" fillId="0" borderId="0" xfId="0" applyNumberFormat="1" applyFont="1" applyFill="1" applyBorder="1" applyAlignment="1" applyProtection="1">
      <alignment horizontal="center"/>
      <protection/>
    </xf>
    <xf numFmtId="9" fontId="9" fillId="0" borderId="31" xfId="0" applyNumberFormat="1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 horizontal="left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/>
      <protection/>
    </xf>
    <xf numFmtId="189" fontId="10" fillId="0" borderId="32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89" fontId="10" fillId="0" borderId="0" xfId="0" applyNumberFormat="1" applyFont="1" applyBorder="1" applyAlignment="1" applyProtection="1">
      <alignment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12" xfId="0" applyNumberFormat="1" applyFont="1" applyBorder="1" applyAlignment="1" applyProtection="1">
      <alignment vertical="center" wrapText="1"/>
      <protection/>
    </xf>
    <xf numFmtId="4" fontId="11" fillId="0" borderId="13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2" fontId="9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 horizontal="center" wrapText="1"/>
      <protection/>
    </xf>
    <xf numFmtId="4" fontId="10" fillId="0" borderId="33" xfId="0" applyNumberFormat="1" applyFont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189" fontId="10" fillId="0" borderId="18" xfId="0" applyNumberFormat="1" applyFont="1" applyBorder="1" applyAlignment="1" applyProtection="1">
      <alignment horizontal="right" vertical="center" wrapText="1"/>
      <protection/>
    </xf>
    <xf numFmtId="177" fontId="9" fillId="0" borderId="0" xfId="0" applyNumberFormat="1" applyFon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right"/>
      <protection/>
    </xf>
    <xf numFmtId="9" fontId="10" fillId="0" borderId="13" xfId="0" applyNumberFormat="1" applyFont="1" applyFill="1" applyBorder="1" applyAlignment="1" applyProtection="1">
      <alignment horizontal="center"/>
      <protection/>
    </xf>
    <xf numFmtId="9" fontId="9" fillId="0" borderId="14" xfId="0" applyNumberFormat="1" applyFont="1" applyFill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/>
      <protection/>
    </xf>
    <xf numFmtId="189" fontId="10" fillId="0" borderId="25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 horizontal="right"/>
      <protection/>
    </xf>
    <xf numFmtId="196" fontId="9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9" fontId="10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189" fontId="0" fillId="0" borderId="18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Fill="1" applyBorder="1" applyAlignment="1">
      <alignment horizontal="center" vertical="center" wrapText="1"/>
    </xf>
    <xf numFmtId="189" fontId="0" fillId="0" borderId="19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89" fontId="0" fillId="0" borderId="18" xfId="0" applyNumberFormat="1" applyFont="1" applyFill="1" applyBorder="1" applyAlignment="1">
      <alignment horizontal="right" vertical="center" wrapText="1"/>
    </xf>
    <xf numFmtId="189" fontId="0" fillId="0" borderId="19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5" fillId="35" borderId="35" xfId="0" applyFont="1" applyFill="1" applyBorder="1" applyAlignment="1">
      <alignment horizontal="center"/>
    </xf>
    <xf numFmtId="0" fontId="15" fillId="35" borderId="23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center"/>
    </xf>
    <xf numFmtId="0" fontId="15" fillId="35" borderId="28" xfId="0" applyFont="1" applyFill="1" applyBorder="1" applyAlignment="1">
      <alignment horizontal="center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35" borderId="34" xfId="0" applyFont="1" applyFill="1" applyBorder="1" applyAlignment="1">
      <alignment horizontal="center" wrapText="1"/>
    </xf>
    <xf numFmtId="0" fontId="15" fillId="35" borderId="27" xfId="0" applyFont="1" applyFill="1" applyBorder="1" applyAlignment="1">
      <alignment horizontal="center" wrapText="1"/>
    </xf>
    <xf numFmtId="0" fontId="15" fillId="35" borderId="25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35" borderId="40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/>
    </xf>
    <xf numFmtId="9" fontId="9" fillId="0" borderId="13" xfId="0" applyNumberFormat="1" applyFont="1" applyFill="1" applyBorder="1" applyAlignment="1" applyProtection="1">
      <alignment horizontal="left"/>
      <protection/>
    </xf>
    <xf numFmtId="2" fontId="9" fillId="0" borderId="18" xfId="0" applyNumberFormat="1" applyFont="1" applyBorder="1" applyAlignment="1" applyProtection="1">
      <alignment horizontal="center" vertical="center" wrapText="1"/>
      <protection/>
    </xf>
    <xf numFmtId="2" fontId="9" fillId="0" borderId="19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 applyProtection="1">
      <alignment horizontal="left" vertical="center" wrapText="1"/>
      <protection/>
    </xf>
    <xf numFmtId="4" fontId="11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6.140625" style="96" customWidth="1"/>
    <col min="2" max="2" width="59.00390625" style="97" customWidth="1"/>
    <col min="3" max="3" width="11.8515625" style="96" customWidth="1"/>
    <col min="4" max="4" width="12.7109375" style="97" customWidth="1"/>
    <col min="5" max="5" width="16.140625" style="62" customWidth="1"/>
    <col min="6" max="6" width="12.421875" style="62" customWidth="1"/>
    <col min="7" max="7" width="21.421875" style="62" customWidth="1"/>
    <col min="8" max="8" width="11.140625" style="62" customWidth="1"/>
    <col min="9" max="9" width="13.140625" style="62" customWidth="1"/>
    <col min="10" max="10" width="11.28125" style="62" customWidth="1"/>
    <col min="11" max="11" width="21.421875" style="62" customWidth="1"/>
    <col min="12" max="16384" width="9.140625" style="62" customWidth="1"/>
  </cols>
  <sheetData>
    <row r="1" spans="1:7" ht="69.75" customHeight="1">
      <c r="A1" s="247" t="s">
        <v>0</v>
      </c>
      <c r="B1" s="247" t="s">
        <v>1</v>
      </c>
      <c r="C1" s="60" t="s">
        <v>57</v>
      </c>
      <c r="D1" s="60" t="s">
        <v>56</v>
      </c>
      <c r="E1" s="60" t="s">
        <v>58</v>
      </c>
      <c r="F1" s="247" t="s">
        <v>21</v>
      </c>
      <c r="G1" s="60" t="s">
        <v>33</v>
      </c>
    </row>
    <row r="2" spans="1:7" ht="12.75" customHeight="1">
      <c r="A2" s="248"/>
      <c r="B2" s="248"/>
      <c r="C2" s="61" t="s">
        <v>41</v>
      </c>
      <c r="D2" s="61" t="s">
        <v>41</v>
      </c>
      <c r="E2" s="61" t="s">
        <v>20</v>
      </c>
      <c r="F2" s="248"/>
      <c r="G2" s="61" t="s">
        <v>20</v>
      </c>
    </row>
    <row r="3" spans="1:7" ht="12">
      <c r="A3" s="63">
        <v>1</v>
      </c>
      <c r="B3" s="64">
        <v>2</v>
      </c>
      <c r="C3" s="64"/>
      <c r="D3" s="64"/>
      <c r="E3" s="64">
        <v>3</v>
      </c>
      <c r="F3" s="64">
        <v>4</v>
      </c>
      <c r="G3" s="64">
        <v>5</v>
      </c>
    </row>
    <row r="4" spans="1:7" ht="18.75" customHeight="1">
      <c r="A4" s="65"/>
      <c r="B4" s="53" t="s">
        <v>2</v>
      </c>
      <c r="C4" s="66"/>
      <c r="D4" s="67"/>
      <c r="E4" s="67"/>
      <c r="F4" s="67"/>
      <c r="G4" s="68"/>
    </row>
    <row r="5" spans="1:7" ht="22.5" customHeight="1">
      <c r="A5" s="69">
        <v>1</v>
      </c>
      <c r="B5" s="54" t="s">
        <v>3</v>
      </c>
      <c r="C5" s="70"/>
      <c r="D5" s="71"/>
      <c r="E5" s="72"/>
      <c r="F5" s="72"/>
      <c r="G5" s="73"/>
    </row>
    <row r="6" spans="1:7" ht="30.75" customHeight="1">
      <c r="A6" s="69" t="s">
        <v>4</v>
      </c>
      <c r="B6" s="52" t="s">
        <v>47</v>
      </c>
      <c r="C6" s="59" t="s">
        <v>43</v>
      </c>
      <c r="D6" s="59">
        <f>(2+2.9)/2</f>
        <v>2.45</v>
      </c>
      <c r="E6" s="74">
        <f>D6*1726.74</f>
        <v>4230.513</v>
      </c>
      <c r="F6" s="75">
        <v>12</v>
      </c>
      <c r="G6" s="76">
        <f>ROUND(E6*F6,2)</f>
        <v>50766.16</v>
      </c>
    </row>
    <row r="7" spans="1:8" ht="36" customHeight="1">
      <c r="A7" s="69" t="s">
        <v>6</v>
      </c>
      <c r="B7" s="52" t="s">
        <v>48</v>
      </c>
      <c r="C7" s="59" t="s">
        <v>59</v>
      </c>
      <c r="D7" s="59">
        <f>((3.5+5.5)/2)+3</f>
        <v>7.5</v>
      </c>
      <c r="E7" s="74">
        <f>D7*91.89</f>
        <v>689.175</v>
      </c>
      <c r="F7" s="75">
        <v>12</v>
      </c>
      <c r="G7" s="76">
        <f>ROUND(E7*F7,2)</f>
        <v>8270.1</v>
      </c>
      <c r="H7" s="77"/>
    </row>
    <row r="8" spans="1:11" ht="27" customHeight="1">
      <c r="A8" s="69" t="s">
        <v>7</v>
      </c>
      <c r="B8" s="52" t="s">
        <v>49</v>
      </c>
      <c r="C8" s="59" t="s">
        <v>39</v>
      </c>
      <c r="D8" s="59">
        <f>(0.8+1)/2</f>
        <v>0.9</v>
      </c>
      <c r="E8" s="74">
        <f>D8*644.75</f>
        <v>580.275</v>
      </c>
      <c r="F8" s="75">
        <v>12</v>
      </c>
      <c r="G8" s="76">
        <f>ROUND(E8*F8,2)</f>
        <v>6963.3</v>
      </c>
      <c r="I8" s="77"/>
      <c r="J8" s="77"/>
      <c r="K8" s="77"/>
    </row>
    <row r="9" spans="1:8" ht="18" customHeight="1">
      <c r="A9" s="69">
        <v>2</v>
      </c>
      <c r="B9" s="55" t="s">
        <v>8</v>
      </c>
      <c r="C9" s="58"/>
      <c r="D9" s="78"/>
      <c r="E9" s="79"/>
      <c r="F9" s="80"/>
      <c r="G9" s="81"/>
      <c r="H9" s="82"/>
    </row>
    <row r="10" spans="1:9" ht="22.5" customHeight="1">
      <c r="A10" s="69" t="s">
        <v>9</v>
      </c>
      <c r="B10" s="52" t="s">
        <v>50</v>
      </c>
      <c r="C10" s="59" t="s">
        <v>39</v>
      </c>
      <c r="D10" s="59">
        <f>(0.8+1)/2</f>
        <v>0.9</v>
      </c>
      <c r="E10" s="74">
        <f>D10*269.38</f>
        <v>242.442</v>
      </c>
      <c r="F10" s="75">
        <v>12</v>
      </c>
      <c r="G10" s="76">
        <f>ROUND(E10*F10,2)</f>
        <v>2909.3</v>
      </c>
      <c r="I10" s="82"/>
    </row>
    <row r="11" spans="1:9" ht="17.25" customHeight="1" thickBot="1">
      <c r="A11" s="69"/>
      <c r="B11" s="56" t="s">
        <v>10</v>
      </c>
      <c r="C11" s="83"/>
      <c r="D11" s="56"/>
      <c r="E11" s="84" t="s">
        <v>11</v>
      </c>
      <c r="F11" s="84" t="s">
        <v>5</v>
      </c>
      <c r="G11" s="85">
        <f>SUM(G6:G10)</f>
        <v>68908.86</v>
      </c>
      <c r="I11" s="82"/>
    </row>
    <row r="12" spans="1:7" ht="16.5" customHeight="1">
      <c r="A12" s="69"/>
      <c r="B12" s="56" t="s">
        <v>12</v>
      </c>
      <c r="C12" s="86"/>
      <c r="D12" s="87"/>
      <c r="E12" s="88"/>
      <c r="F12" s="87"/>
      <c r="G12" s="89"/>
    </row>
    <row r="13" spans="1:9" ht="18" customHeight="1">
      <c r="A13" s="69">
        <v>3</v>
      </c>
      <c r="B13" s="55" t="s">
        <v>13</v>
      </c>
      <c r="C13" s="58"/>
      <c r="D13" s="78"/>
      <c r="E13" s="79"/>
      <c r="F13" s="80"/>
      <c r="G13" s="90"/>
      <c r="I13" s="91"/>
    </row>
    <row r="14" spans="1:7" ht="27" customHeight="1">
      <c r="A14" s="245" t="s">
        <v>14</v>
      </c>
      <c r="B14" s="52" t="s">
        <v>51</v>
      </c>
      <c r="C14" s="59" t="s">
        <v>44</v>
      </c>
      <c r="D14" s="59">
        <f>(3.3+4)/2</f>
        <v>3.65</v>
      </c>
      <c r="E14" s="74">
        <f>D14*2018.77</f>
        <v>7368.510499999999</v>
      </c>
      <c r="F14" s="75">
        <v>2</v>
      </c>
      <c r="G14" s="76">
        <f>ROUND(E14*F14,2)</f>
        <v>14737.02</v>
      </c>
    </row>
    <row r="15" spans="1:7" ht="24.75" customHeight="1">
      <c r="A15" s="246"/>
      <c r="B15" s="52" t="s">
        <v>52</v>
      </c>
      <c r="C15" s="59" t="s">
        <v>46</v>
      </c>
      <c r="D15" s="59">
        <f>D14*0.4</f>
        <v>1.46</v>
      </c>
      <c r="E15" s="74">
        <f>642.24*D15</f>
        <v>937.6704</v>
      </c>
      <c r="F15" s="75">
        <v>2</v>
      </c>
      <c r="G15" s="76">
        <f>ROUND(E15*F15,2)</f>
        <v>1875.34</v>
      </c>
    </row>
    <row r="16" spans="1:9" ht="39" customHeight="1">
      <c r="A16" s="69" t="s">
        <v>15</v>
      </c>
      <c r="B16" s="52" t="s">
        <v>53</v>
      </c>
      <c r="C16" s="59" t="s">
        <v>45</v>
      </c>
      <c r="D16" s="59">
        <f>(7.2+10)/2</f>
        <v>8.6</v>
      </c>
      <c r="E16" s="74">
        <f>537.59*D16</f>
        <v>4623.274</v>
      </c>
      <c r="F16" s="75">
        <v>2</v>
      </c>
      <c r="G16" s="76">
        <f>ROUND(E16*F16,2)</f>
        <v>9246.55</v>
      </c>
      <c r="I16" s="82"/>
    </row>
    <row r="17" spans="1:7" ht="39" customHeight="1">
      <c r="A17" s="69" t="s">
        <v>16</v>
      </c>
      <c r="B17" s="52" t="s">
        <v>54</v>
      </c>
      <c r="C17" s="59" t="s">
        <v>40</v>
      </c>
      <c r="D17" s="59">
        <f>(0.5+0.8)/2</f>
        <v>0.65</v>
      </c>
      <c r="E17" s="74">
        <f>466.53*D17</f>
        <v>303.2445</v>
      </c>
      <c r="F17" s="75">
        <v>4</v>
      </c>
      <c r="G17" s="76">
        <f>ROUND(E17*F17,2)</f>
        <v>1212.98</v>
      </c>
    </row>
    <row r="18" spans="1:9" ht="25.5" customHeight="1">
      <c r="A18" s="69" t="s">
        <v>17</v>
      </c>
      <c r="B18" s="52" t="s">
        <v>55</v>
      </c>
      <c r="C18" s="59" t="s">
        <v>39</v>
      </c>
      <c r="D18" s="59">
        <f>(0.8+1)/2</f>
        <v>0.9</v>
      </c>
      <c r="E18" s="74">
        <f>157.08*D18</f>
        <v>141.372</v>
      </c>
      <c r="F18" s="75">
        <v>4</v>
      </c>
      <c r="G18" s="76">
        <f>ROUND(E18*F18,2)</f>
        <v>565.49</v>
      </c>
      <c r="I18" s="82"/>
    </row>
    <row r="19" spans="1:11" ht="17.25" customHeight="1" thickBot="1">
      <c r="A19" s="92"/>
      <c r="B19" s="57" t="s">
        <v>10</v>
      </c>
      <c r="C19" s="93"/>
      <c r="D19" s="93"/>
      <c r="E19" s="94" t="s">
        <v>5</v>
      </c>
      <c r="F19" s="94" t="s">
        <v>5</v>
      </c>
      <c r="G19" s="85">
        <f>SUM(G14:G18)</f>
        <v>27637.38</v>
      </c>
      <c r="K19" s="95"/>
    </row>
    <row r="20" spans="7:11" ht="12.75" thickBot="1">
      <c r="G20" s="98"/>
      <c r="K20" s="77"/>
    </row>
    <row r="21" spans="2:7" ht="12.75" thickBot="1">
      <c r="B21" s="99" t="s">
        <v>18</v>
      </c>
      <c r="C21" s="100"/>
      <c r="D21" s="101"/>
      <c r="E21" s="102"/>
      <c r="F21" s="102"/>
      <c r="G21" s="103">
        <f>G11+G19</f>
        <v>96546.24</v>
      </c>
    </row>
    <row r="22" spans="2:7" ht="12.75" thickBot="1">
      <c r="B22" s="104"/>
      <c r="C22" s="100"/>
      <c r="D22" s="102"/>
      <c r="E22" s="244" t="s">
        <v>22</v>
      </c>
      <c r="F22" s="244"/>
      <c r="G22" s="105">
        <f>ROUND(E23*G21,2)</f>
        <v>22205.64</v>
      </c>
    </row>
    <row r="23" spans="2:7" ht="12.75" thickBot="1">
      <c r="B23" s="106" t="s">
        <v>23</v>
      </c>
      <c r="C23" s="107"/>
      <c r="D23" s="106"/>
      <c r="E23" s="108">
        <v>0.23</v>
      </c>
      <c r="F23" s="109"/>
      <c r="G23" s="110"/>
    </row>
    <row r="24" spans="2:7" ht="12.75" thickBot="1">
      <c r="B24" s="111" t="s">
        <v>19</v>
      </c>
      <c r="C24" s="112"/>
      <c r="D24" s="113"/>
      <c r="E24" s="114"/>
      <c r="F24" s="114"/>
      <c r="G24" s="115">
        <f>G22+G21</f>
        <v>118751.88</v>
      </c>
    </row>
    <row r="25" ht="12">
      <c r="G25" s="82"/>
    </row>
    <row r="26" spans="5:7" ht="12">
      <c r="E26" s="77"/>
      <c r="G26" s="82"/>
    </row>
    <row r="27" ht="12">
      <c r="G27" s="82"/>
    </row>
    <row r="29" ht="12">
      <c r="G29" s="77"/>
    </row>
    <row r="30" spans="2:5" ht="12">
      <c r="B30" s="97" t="s">
        <v>42</v>
      </c>
      <c r="C30" s="116">
        <f>E6+E7+E8+E10</f>
        <v>5742.405</v>
      </c>
      <c r="D30" s="117">
        <f>C30*1.23</f>
        <v>7063.158149999999</v>
      </c>
      <c r="E30" s="77">
        <f>E7+C31</f>
        <v>689.175</v>
      </c>
    </row>
    <row r="31" ht="12">
      <c r="G31" s="62">
        <f>3724.25</f>
        <v>3724.25</v>
      </c>
    </row>
    <row r="32" spans="3:7" ht="12">
      <c r="C32" s="116">
        <f>SUM(C30:C31)</f>
        <v>5742.405</v>
      </c>
      <c r="D32" s="117">
        <f>C32*1.23</f>
        <v>7063.158149999999</v>
      </c>
      <c r="G32" s="62">
        <f>G31*1.23</f>
        <v>4580.8275</v>
      </c>
    </row>
    <row r="33" ht="12">
      <c r="C33" s="116"/>
    </row>
    <row r="34" ht="12">
      <c r="D34" s="117">
        <f>D32*2</f>
        <v>14126.316299999999</v>
      </c>
    </row>
  </sheetData>
  <sheetProtection/>
  <mergeCells count="5">
    <mergeCell ref="E22:F22"/>
    <mergeCell ref="A14:A15"/>
    <mergeCell ref="A1:A2"/>
    <mergeCell ref="F1:F2"/>
    <mergeCell ref="B1:B2"/>
  </mergeCells>
  <printOptions/>
  <pageMargins left="0.45" right="0.4" top="0.45" bottom="0.27" header="0.21" footer="0.21"/>
  <pageSetup horizontalDpi="600" verticalDpi="600" orientation="landscape" paperSize="9" r:id="rId1"/>
  <headerFooter alignWithMargins="0">
    <oddHeader>&amp;CSZACUNKOWA WARTOŚĆ ZAMÓWIENIA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B1" sqref="B1:B2"/>
    </sheetView>
  </sheetViews>
  <sheetFormatPr defaultColWidth="9.140625" defaultRowHeight="12.75"/>
  <cols>
    <col min="1" max="1" width="6.140625" style="32" customWidth="1"/>
    <col min="2" max="2" width="80.00390625" style="2" customWidth="1"/>
    <col min="3" max="3" width="16.140625" style="1" customWidth="1"/>
    <col min="4" max="4" width="12.421875" style="1" customWidth="1"/>
    <col min="5" max="5" width="17.421875" style="1" customWidth="1"/>
    <col min="6" max="6" width="11.140625" style="1" customWidth="1"/>
    <col min="7" max="7" width="13.140625" style="1" customWidth="1"/>
    <col min="8" max="8" width="11.28125" style="1" customWidth="1"/>
    <col min="9" max="9" width="21.421875" style="1" customWidth="1"/>
    <col min="10" max="16384" width="9.140625" style="1" customWidth="1"/>
  </cols>
  <sheetData>
    <row r="1" spans="1:5" ht="75" customHeight="1">
      <c r="A1" s="252" t="s">
        <v>0</v>
      </c>
      <c r="B1" s="252" t="s">
        <v>1</v>
      </c>
      <c r="C1" s="30" t="s">
        <v>24</v>
      </c>
      <c r="D1" s="252" t="s">
        <v>21</v>
      </c>
      <c r="E1" s="30" t="s">
        <v>33</v>
      </c>
    </row>
    <row r="2" spans="1:5" ht="12.75" customHeight="1">
      <c r="A2" s="253"/>
      <c r="B2" s="253"/>
      <c r="C2" s="31" t="s">
        <v>20</v>
      </c>
      <c r="D2" s="253"/>
      <c r="E2" s="31" t="s">
        <v>20</v>
      </c>
    </row>
    <row r="3" spans="1:5" ht="12.75">
      <c r="A3" s="21">
        <v>1</v>
      </c>
      <c r="B3" s="22">
        <v>2</v>
      </c>
      <c r="C3" s="22">
        <v>3</v>
      </c>
      <c r="D3" s="22">
        <v>4</v>
      </c>
      <c r="E3" s="22">
        <v>5</v>
      </c>
    </row>
    <row r="4" spans="1:5" ht="18.75" customHeight="1">
      <c r="A4" s="3"/>
      <c r="B4" s="12" t="s">
        <v>2</v>
      </c>
      <c r="C4" s="13"/>
      <c r="D4" s="13"/>
      <c r="E4" s="14"/>
    </row>
    <row r="5" spans="1:5" ht="22.5" customHeight="1">
      <c r="A5" s="5">
        <v>1</v>
      </c>
      <c r="B5" s="23" t="s">
        <v>3</v>
      </c>
      <c r="C5" s="15"/>
      <c r="D5" s="15"/>
      <c r="E5" s="16"/>
    </row>
    <row r="6" spans="1:5" ht="21" customHeight="1">
      <c r="A6" s="5" t="s">
        <v>4</v>
      </c>
      <c r="B6" s="9" t="s">
        <v>25</v>
      </c>
      <c r="C6" s="40"/>
      <c r="D6" s="10">
        <v>12</v>
      </c>
      <c r="E6" s="43">
        <f>ROUND(C6*D6,2)</f>
        <v>0</v>
      </c>
    </row>
    <row r="7" spans="1:5" ht="19.5" customHeight="1">
      <c r="A7" s="5" t="s">
        <v>6</v>
      </c>
      <c r="B7" s="9" t="s">
        <v>26</v>
      </c>
      <c r="C7" s="40"/>
      <c r="D7" s="10">
        <v>12</v>
      </c>
      <c r="E7" s="43">
        <f>ROUND(C7*D7,2)</f>
        <v>0</v>
      </c>
    </row>
    <row r="8" spans="1:9" ht="22.5" customHeight="1">
      <c r="A8" s="5" t="s">
        <v>7</v>
      </c>
      <c r="B8" s="9" t="s">
        <v>27</v>
      </c>
      <c r="C8" s="40"/>
      <c r="D8" s="10">
        <v>12</v>
      </c>
      <c r="E8" s="43">
        <f>ROUND(C8*D8,2)</f>
        <v>0</v>
      </c>
      <c r="G8" s="39"/>
      <c r="H8" s="39"/>
      <c r="I8" s="39"/>
    </row>
    <row r="9" spans="1:6" ht="18" customHeight="1">
      <c r="A9" s="5">
        <v>2</v>
      </c>
      <c r="B9" s="24" t="s">
        <v>8</v>
      </c>
      <c r="C9" s="41"/>
      <c r="D9" s="17"/>
      <c r="E9" s="7"/>
      <c r="F9" s="11"/>
    </row>
    <row r="10" spans="1:7" ht="22.5" customHeight="1">
      <c r="A10" s="5" t="s">
        <v>9</v>
      </c>
      <c r="B10" s="9" t="s">
        <v>28</v>
      </c>
      <c r="C10" s="40"/>
      <c r="D10" s="10">
        <v>12</v>
      </c>
      <c r="E10" s="43">
        <f>ROUND(C10*D10,2)</f>
        <v>0</v>
      </c>
      <c r="G10" s="11"/>
    </row>
    <row r="11" spans="1:7" ht="17.25" customHeight="1" thickBot="1">
      <c r="A11" s="5"/>
      <c r="B11" s="18" t="s">
        <v>10</v>
      </c>
      <c r="C11" s="6" t="s">
        <v>11</v>
      </c>
      <c r="D11" s="6" t="s">
        <v>5</v>
      </c>
      <c r="E11" s="46">
        <f>SUM(E6:E10)</f>
        <v>0</v>
      </c>
      <c r="G11" s="11"/>
    </row>
    <row r="12" spans="1:5" ht="16.5" customHeight="1">
      <c r="A12" s="5"/>
      <c r="B12" s="18" t="s">
        <v>12</v>
      </c>
      <c r="C12" s="42"/>
      <c r="D12" s="19"/>
      <c r="E12" s="44"/>
    </row>
    <row r="13" spans="1:7" ht="18" customHeight="1">
      <c r="A13" s="5">
        <v>3</v>
      </c>
      <c r="B13" s="24" t="s">
        <v>13</v>
      </c>
      <c r="C13" s="41"/>
      <c r="D13" s="17"/>
      <c r="E13" s="45"/>
      <c r="G13" s="34"/>
    </row>
    <row r="14" spans="1:5" ht="16.5" customHeight="1">
      <c r="A14" s="250" t="s">
        <v>14</v>
      </c>
      <c r="B14" s="9" t="s">
        <v>29</v>
      </c>
      <c r="C14" s="40"/>
      <c r="D14" s="10">
        <v>2</v>
      </c>
      <c r="E14" s="43">
        <f>ROUND(C14*D14,2)</f>
        <v>0</v>
      </c>
    </row>
    <row r="15" spans="1:5" ht="18.75" customHeight="1">
      <c r="A15" s="251"/>
      <c r="B15" s="9" t="s">
        <v>30</v>
      </c>
      <c r="C15" s="40"/>
      <c r="D15" s="10">
        <v>2</v>
      </c>
      <c r="E15" s="43">
        <f>ROUND(C15*D15,2)</f>
        <v>0</v>
      </c>
    </row>
    <row r="16" spans="1:7" ht="28.5" customHeight="1">
      <c r="A16" s="5" t="s">
        <v>15</v>
      </c>
      <c r="B16" s="9" t="s">
        <v>34</v>
      </c>
      <c r="C16" s="40"/>
      <c r="D16" s="10">
        <v>2</v>
      </c>
      <c r="E16" s="43">
        <f>ROUND(C16*D16,2)</f>
        <v>0</v>
      </c>
      <c r="G16" s="11"/>
    </row>
    <row r="17" spans="1:5" ht="39" customHeight="1">
      <c r="A17" s="5" t="s">
        <v>16</v>
      </c>
      <c r="B17" s="9" t="s">
        <v>31</v>
      </c>
      <c r="C17" s="40"/>
      <c r="D17" s="10">
        <v>4</v>
      </c>
      <c r="E17" s="43">
        <f>ROUND(C17*D17,2)</f>
        <v>0</v>
      </c>
    </row>
    <row r="18" spans="1:7" ht="21" customHeight="1">
      <c r="A18" s="5" t="s">
        <v>17</v>
      </c>
      <c r="B18" s="9" t="s">
        <v>32</v>
      </c>
      <c r="C18" s="40"/>
      <c r="D18" s="10">
        <v>4</v>
      </c>
      <c r="E18" s="43">
        <f>ROUND(C18*D18,2)</f>
        <v>0</v>
      </c>
      <c r="G18" s="11"/>
    </row>
    <row r="19" spans="1:9" ht="17.25" customHeight="1" thickBot="1">
      <c r="A19" s="4"/>
      <c r="B19" s="20" t="s">
        <v>10</v>
      </c>
      <c r="C19" s="8" t="s">
        <v>5</v>
      </c>
      <c r="D19" s="8" t="s">
        <v>5</v>
      </c>
      <c r="E19" s="46">
        <f>SUM(E14:E18)</f>
        <v>0</v>
      </c>
      <c r="I19" s="35"/>
    </row>
    <row r="20" spans="5:9" ht="13.5" thickBot="1">
      <c r="E20" s="47"/>
      <c r="I20" s="39"/>
    </row>
    <row r="21" spans="2:5" ht="13.5" thickBot="1">
      <c r="B21" s="25" t="s">
        <v>18</v>
      </c>
      <c r="C21" s="26"/>
      <c r="D21" s="26"/>
      <c r="E21" s="49">
        <f>E11+E19</f>
        <v>0</v>
      </c>
    </row>
    <row r="22" spans="2:5" ht="13.5" thickBot="1">
      <c r="B22" s="29"/>
      <c r="C22" s="249" t="s">
        <v>22</v>
      </c>
      <c r="D22" s="249"/>
      <c r="E22" s="50">
        <f>ROUND(C23*E21,2)</f>
        <v>0</v>
      </c>
    </row>
    <row r="23" spans="2:5" ht="12.75">
      <c r="B23" s="38" t="s">
        <v>23</v>
      </c>
      <c r="C23" s="48"/>
      <c r="D23" s="36"/>
      <c r="E23" s="37"/>
    </row>
    <row r="24" ht="13.5" thickBot="1"/>
    <row r="25" spans="2:5" ht="13.5" thickBot="1">
      <c r="B25" s="27" t="s">
        <v>19</v>
      </c>
      <c r="C25" s="28"/>
      <c r="D25" s="28"/>
      <c r="E25" s="33">
        <f>E22+E21</f>
        <v>0</v>
      </c>
    </row>
    <row r="26" ht="12.75">
      <c r="E26" s="11"/>
    </row>
    <row r="27" ht="12.75">
      <c r="E27" s="11"/>
    </row>
  </sheetData>
  <sheetProtection/>
  <mergeCells count="5">
    <mergeCell ref="C22:D22"/>
    <mergeCell ref="A14:A15"/>
    <mergeCell ref="A1:A2"/>
    <mergeCell ref="D1:D2"/>
    <mergeCell ref="B1:B2"/>
  </mergeCells>
  <printOptions/>
  <pageMargins left="0.45" right="0.4" top="0.54" bottom="0.47" header="0.29" footer="0.33"/>
  <pageSetup horizontalDpi="600" verticalDpi="600" orientation="landscape" paperSize="9" r:id="rId1"/>
  <headerFooter alignWithMargins="0">
    <oddHeader>&amp;CSZACUNKOWA WARTOŚĆ ZAMÓWIENIA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5" sqref="F5:F7"/>
    </sheetView>
  </sheetViews>
  <sheetFormatPr defaultColWidth="9.140625" defaultRowHeight="12.75"/>
  <cols>
    <col min="1" max="1" width="6.140625" style="32" customWidth="1"/>
    <col min="2" max="2" width="76.8515625" style="2" customWidth="1"/>
    <col min="3" max="3" width="9.140625" style="2" customWidth="1"/>
    <col min="4" max="4" width="18.00390625" style="1" customWidth="1"/>
    <col min="5" max="5" width="14.7109375" style="1" customWidth="1"/>
    <col min="6" max="6" width="17.421875" style="1" customWidth="1"/>
    <col min="7" max="7" width="11.140625" style="1" customWidth="1"/>
    <col min="8" max="8" width="13.140625" style="1" customWidth="1"/>
    <col min="9" max="9" width="11.28125" style="1" customWidth="1"/>
    <col min="10" max="10" width="21.421875" style="1" customWidth="1"/>
    <col min="11" max="16384" width="9.140625" style="1" customWidth="1"/>
  </cols>
  <sheetData>
    <row r="1" spans="1:6" ht="75" customHeight="1">
      <c r="A1" s="30" t="s">
        <v>0</v>
      </c>
      <c r="B1" s="30" t="s">
        <v>1</v>
      </c>
      <c r="C1" s="30"/>
      <c r="D1" s="30" t="s">
        <v>24</v>
      </c>
      <c r="E1" s="30" t="s">
        <v>21</v>
      </c>
      <c r="F1" s="30" t="s">
        <v>35</v>
      </c>
    </row>
    <row r="2" spans="1:6" ht="12.75">
      <c r="A2" s="21">
        <v>1</v>
      </c>
      <c r="B2" s="22">
        <v>2</v>
      </c>
      <c r="C2" s="22"/>
      <c r="D2" s="22">
        <v>3</v>
      </c>
      <c r="E2" s="22">
        <v>4</v>
      </c>
      <c r="F2" s="22">
        <v>5</v>
      </c>
    </row>
    <row r="3" spans="1:6" ht="18.75" customHeight="1">
      <c r="A3" s="3"/>
      <c r="B3" s="12" t="s">
        <v>2</v>
      </c>
      <c r="C3" s="13"/>
      <c r="D3" s="13"/>
      <c r="E3" s="13"/>
      <c r="F3" s="14"/>
    </row>
    <row r="4" spans="1:6" ht="22.5" customHeight="1">
      <c r="A4" s="5">
        <v>1</v>
      </c>
      <c r="B4" s="118" t="s">
        <v>3</v>
      </c>
      <c r="C4" s="120"/>
      <c r="D4" s="15"/>
      <c r="E4" s="15"/>
      <c r="F4" s="16"/>
    </row>
    <row r="5" spans="1:9" ht="21" customHeight="1">
      <c r="A5" s="5" t="s">
        <v>4</v>
      </c>
      <c r="B5" s="9" t="s">
        <v>25</v>
      </c>
      <c r="C5" s="121"/>
      <c r="D5" s="254">
        <v>0.5</v>
      </c>
      <c r="E5" s="257">
        <v>12</v>
      </c>
      <c r="F5" s="254">
        <f>ROUND(C6*D5*E5*E5,2)</f>
        <v>177363.36</v>
      </c>
      <c r="H5" s="39"/>
      <c r="I5" s="39"/>
    </row>
    <row r="6" spans="1:9" ht="19.5" customHeight="1">
      <c r="A6" s="5" t="s">
        <v>6</v>
      </c>
      <c r="B6" s="9" t="s">
        <v>26</v>
      </c>
      <c r="C6" s="122">
        <f>1726.74+91.89+644.75</f>
        <v>2463.38</v>
      </c>
      <c r="D6" s="255"/>
      <c r="E6" s="258"/>
      <c r="F6" s="255">
        <f>ROUND(D6*E6,2)</f>
        <v>0</v>
      </c>
      <c r="G6" s="39"/>
      <c r="H6" s="39"/>
      <c r="I6" s="39"/>
    </row>
    <row r="7" spans="1:10" ht="22.5" customHeight="1">
      <c r="A7" s="5" t="s">
        <v>7</v>
      </c>
      <c r="B7" s="9" t="s">
        <v>27</v>
      </c>
      <c r="C7" s="123"/>
      <c r="D7" s="256"/>
      <c r="E7" s="259"/>
      <c r="F7" s="256">
        <f>ROUND(D7*E7,2)</f>
        <v>0</v>
      </c>
      <c r="H7" s="39"/>
      <c r="I7" s="39"/>
      <c r="J7" s="39"/>
    </row>
    <row r="8" spans="1:8" ht="18" customHeight="1">
      <c r="A8" s="5">
        <v>2</v>
      </c>
      <c r="B8" s="119" t="s">
        <v>8</v>
      </c>
      <c r="C8" s="124"/>
      <c r="D8" s="41"/>
      <c r="E8" s="17"/>
      <c r="F8" s="7"/>
      <c r="G8" s="11"/>
      <c r="H8" s="39"/>
    </row>
    <row r="9" spans="1:9" ht="22.5" customHeight="1">
      <c r="A9" s="5" t="s">
        <v>9</v>
      </c>
      <c r="B9" s="9" t="s">
        <v>28</v>
      </c>
      <c r="C9" s="9"/>
      <c r="D9" s="43"/>
      <c r="E9" s="10">
        <v>12</v>
      </c>
      <c r="F9" s="43">
        <f>ROUND(D9*E9,2)</f>
        <v>0</v>
      </c>
      <c r="H9" s="39"/>
      <c r="I9" s="39"/>
    </row>
    <row r="10" spans="1:9" ht="17.25" customHeight="1" thickBot="1">
      <c r="A10" s="5"/>
      <c r="B10" s="18" t="s">
        <v>10</v>
      </c>
      <c r="C10" s="18"/>
      <c r="D10" s="6" t="s">
        <v>11</v>
      </c>
      <c r="E10" s="6" t="s">
        <v>5</v>
      </c>
      <c r="F10" s="46">
        <f>SUM(F5:F9)</f>
        <v>177363.36</v>
      </c>
      <c r="H10" s="39"/>
      <c r="I10" s="39"/>
    </row>
    <row r="11" spans="1:8" ht="16.5" customHeight="1">
      <c r="A11" s="5"/>
      <c r="B11" s="18" t="s">
        <v>12</v>
      </c>
      <c r="C11" s="19"/>
      <c r="D11" s="42"/>
      <c r="E11" s="19"/>
      <c r="F11" s="44"/>
      <c r="H11" s="39"/>
    </row>
    <row r="12" spans="1:8" ht="18" customHeight="1">
      <c r="A12" s="5">
        <v>3</v>
      </c>
      <c r="B12" s="119" t="s">
        <v>13</v>
      </c>
      <c r="C12" s="124"/>
      <c r="D12" s="41"/>
      <c r="E12" s="17"/>
      <c r="F12" s="45"/>
      <c r="H12" s="39"/>
    </row>
    <row r="13" spans="1:9" ht="16.5" customHeight="1">
      <c r="A13" s="250" t="s">
        <v>14</v>
      </c>
      <c r="B13" s="9" t="s">
        <v>36</v>
      </c>
      <c r="C13" s="121"/>
      <c r="D13" s="254"/>
      <c r="E13" s="262">
        <v>1</v>
      </c>
      <c r="F13" s="260">
        <v>0</v>
      </c>
      <c r="H13" s="39"/>
      <c r="I13" s="39"/>
    </row>
    <row r="14" spans="1:9" ht="18.75" customHeight="1">
      <c r="A14" s="251"/>
      <c r="B14" s="9" t="s">
        <v>30</v>
      </c>
      <c r="C14" s="123"/>
      <c r="D14" s="256"/>
      <c r="E14" s="263"/>
      <c r="F14" s="261"/>
      <c r="H14" s="39"/>
      <c r="I14" s="39"/>
    </row>
    <row r="15" spans="1:9" ht="28.5" customHeight="1">
      <c r="A15" s="5" t="s">
        <v>15</v>
      </c>
      <c r="B15" s="9" t="s">
        <v>34</v>
      </c>
      <c r="C15" s="9"/>
      <c r="D15" s="43"/>
      <c r="E15" s="51">
        <v>1</v>
      </c>
      <c r="F15" s="43">
        <f>ROUND(D15*E15,2)</f>
        <v>0</v>
      </c>
      <c r="H15" s="39"/>
      <c r="I15" s="39"/>
    </row>
    <row r="16" spans="1:9" ht="39" customHeight="1">
      <c r="A16" s="5" t="s">
        <v>16</v>
      </c>
      <c r="B16" s="9" t="s">
        <v>37</v>
      </c>
      <c r="C16" s="121"/>
      <c r="D16" s="254"/>
      <c r="E16" s="257">
        <v>4</v>
      </c>
      <c r="F16" s="260">
        <f>ROUND(D17*E16,2)</f>
        <v>0</v>
      </c>
      <c r="H16" s="39"/>
      <c r="I16" s="39"/>
    </row>
    <row r="17" spans="1:9" ht="21" customHeight="1">
      <c r="A17" s="5" t="s">
        <v>17</v>
      </c>
      <c r="B17" s="9" t="s">
        <v>38</v>
      </c>
      <c r="C17" s="123"/>
      <c r="D17" s="256"/>
      <c r="E17" s="259"/>
      <c r="F17" s="261"/>
      <c r="H17" s="39"/>
      <c r="I17" s="39"/>
    </row>
    <row r="18" spans="1:10" ht="17.25" customHeight="1" thickBot="1">
      <c r="A18" s="4"/>
      <c r="B18" s="20" t="s">
        <v>10</v>
      </c>
      <c r="C18" s="20"/>
      <c r="D18" s="8" t="s">
        <v>5</v>
      </c>
      <c r="E18" s="8" t="s">
        <v>5</v>
      </c>
      <c r="F18" s="46">
        <f>SUM(F13:F16)</f>
        <v>0</v>
      </c>
      <c r="H18" s="39"/>
      <c r="I18" s="39"/>
      <c r="J18" s="35"/>
    </row>
    <row r="19" spans="6:10" ht="13.5" thickBot="1">
      <c r="F19" s="47"/>
      <c r="J19" s="39"/>
    </row>
    <row r="20" spans="2:9" ht="13.5" thickBot="1">
      <c r="B20" s="25" t="s">
        <v>18</v>
      </c>
      <c r="C20" s="125"/>
      <c r="D20" s="26"/>
      <c r="E20" s="26"/>
      <c r="F20" s="49">
        <f>F10+F18</f>
        <v>177363.36</v>
      </c>
      <c r="I20" s="39"/>
    </row>
    <row r="21" spans="2:6" ht="13.5" thickBot="1">
      <c r="B21" s="29"/>
      <c r="C21" s="26"/>
      <c r="D21" s="249" t="s">
        <v>22</v>
      </c>
      <c r="E21" s="249"/>
      <c r="F21" s="50">
        <f>ROUND(D22*F20,2)</f>
        <v>0</v>
      </c>
    </row>
    <row r="22" spans="2:6" ht="12.75">
      <c r="B22" s="38" t="s">
        <v>23</v>
      </c>
      <c r="C22" s="38"/>
      <c r="D22" s="48"/>
      <c r="E22" s="36"/>
      <c r="F22" s="37"/>
    </row>
    <row r="23" ht="13.5" thickBot="1"/>
    <row r="24" spans="2:6" ht="13.5" thickBot="1">
      <c r="B24" s="27" t="s">
        <v>19</v>
      </c>
      <c r="C24" s="126"/>
      <c r="D24" s="28"/>
      <c r="E24" s="28"/>
      <c r="F24" s="33">
        <f>F21+F20</f>
        <v>177363.36</v>
      </c>
    </row>
    <row r="25" ht="12.75">
      <c r="F25" s="11"/>
    </row>
    <row r="26" ht="12.75">
      <c r="F26" s="11"/>
    </row>
  </sheetData>
  <sheetProtection/>
  <mergeCells count="11">
    <mergeCell ref="D16:D17"/>
    <mergeCell ref="D21:E21"/>
    <mergeCell ref="A13:A14"/>
    <mergeCell ref="D5:D7"/>
    <mergeCell ref="E5:E7"/>
    <mergeCell ref="E16:E17"/>
    <mergeCell ref="F16:F17"/>
    <mergeCell ref="F5:F7"/>
    <mergeCell ref="D13:D14"/>
    <mergeCell ref="E13:E14"/>
    <mergeCell ref="F13:F14"/>
  </mergeCells>
  <printOptions/>
  <pageMargins left="0.45" right="0.4" top="0.54" bottom="0.47" header="0.29" footer="0.33"/>
  <pageSetup horizontalDpi="600" verticalDpi="600" orientation="landscape" paperSize="9" r:id="rId1"/>
  <headerFooter alignWithMargins="0">
    <oddHeader>&amp;CTABELA CENOWA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6">
      <selection activeCell="H17" sqref="H17"/>
    </sheetView>
  </sheetViews>
  <sheetFormatPr defaultColWidth="9.140625" defaultRowHeight="12.75"/>
  <cols>
    <col min="1" max="1" width="6.140625" style="96" customWidth="1"/>
    <col min="2" max="2" width="59.00390625" style="97" customWidth="1"/>
    <col min="3" max="3" width="11.8515625" style="96" customWidth="1"/>
    <col min="4" max="4" width="12.7109375" style="97" customWidth="1"/>
    <col min="5" max="5" width="16.140625" style="62" customWidth="1"/>
    <col min="6" max="6" width="12.421875" style="62" customWidth="1"/>
    <col min="7" max="7" width="21.421875" style="62" customWidth="1"/>
    <col min="8" max="8" width="11.140625" style="62" customWidth="1"/>
    <col min="9" max="9" width="13.140625" style="62" customWidth="1"/>
    <col min="10" max="10" width="11.28125" style="62" customWidth="1"/>
    <col min="11" max="11" width="21.421875" style="62" customWidth="1"/>
    <col min="12" max="16384" width="9.140625" style="62" customWidth="1"/>
  </cols>
  <sheetData>
    <row r="1" spans="1:7" ht="69.75" customHeight="1">
      <c r="A1" s="247" t="s">
        <v>0</v>
      </c>
      <c r="B1" s="247" t="s">
        <v>1</v>
      </c>
      <c r="C1" s="60" t="s">
        <v>57</v>
      </c>
      <c r="D1" s="60" t="s">
        <v>56</v>
      </c>
      <c r="E1" s="60" t="s">
        <v>58</v>
      </c>
      <c r="F1" s="247" t="s">
        <v>21</v>
      </c>
      <c r="G1" s="60" t="s">
        <v>33</v>
      </c>
    </row>
    <row r="2" spans="1:7" ht="12.75" customHeight="1">
      <c r="A2" s="248"/>
      <c r="B2" s="248"/>
      <c r="C2" s="61" t="s">
        <v>41</v>
      </c>
      <c r="D2" s="61" t="s">
        <v>41</v>
      </c>
      <c r="E2" s="61" t="s">
        <v>20</v>
      </c>
      <c r="F2" s="248"/>
      <c r="G2" s="61" t="s">
        <v>20</v>
      </c>
    </row>
    <row r="3" spans="1:7" ht="12">
      <c r="A3" s="63">
        <v>1</v>
      </c>
      <c r="B3" s="64">
        <v>2</v>
      </c>
      <c r="C3" s="64"/>
      <c r="D3" s="64"/>
      <c r="E3" s="64">
        <v>3</v>
      </c>
      <c r="F3" s="64">
        <v>4</v>
      </c>
      <c r="G3" s="64">
        <v>5</v>
      </c>
    </row>
    <row r="4" spans="1:7" ht="18.75" customHeight="1">
      <c r="A4" s="65"/>
      <c r="B4" s="53" t="s">
        <v>2</v>
      </c>
      <c r="C4" s="66"/>
      <c r="D4" s="67"/>
      <c r="E4" s="67"/>
      <c r="F4" s="67"/>
      <c r="G4" s="68"/>
    </row>
    <row r="5" spans="1:7" ht="22.5" customHeight="1">
      <c r="A5" s="69">
        <v>1</v>
      </c>
      <c r="B5" s="54" t="s">
        <v>3</v>
      </c>
      <c r="C5" s="70"/>
      <c r="D5" s="71"/>
      <c r="E5" s="72"/>
      <c r="F5" s="72"/>
      <c r="G5" s="73"/>
    </row>
    <row r="6" spans="1:7" ht="30.75" customHeight="1">
      <c r="A6" s="69" t="s">
        <v>4</v>
      </c>
      <c r="B6" s="52" t="s">
        <v>65</v>
      </c>
      <c r="C6" s="59" t="s">
        <v>60</v>
      </c>
      <c r="D6" s="59">
        <v>3.75</v>
      </c>
      <c r="E6" s="127">
        <f>D6*1726.74</f>
        <v>6475.275</v>
      </c>
      <c r="F6" s="75">
        <v>12</v>
      </c>
      <c r="G6" s="76">
        <f>ROUND(E6*F6,2)</f>
        <v>77703.3</v>
      </c>
    </row>
    <row r="7" spans="1:8" ht="36" customHeight="1">
      <c r="A7" s="69" t="s">
        <v>6</v>
      </c>
      <c r="B7" s="52" t="s">
        <v>48</v>
      </c>
      <c r="C7" s="59" t="s">
        <v>59</v>
      </c>
      <c r="D7" s="59">
        <v>5.5</v>
      </c>
      <c r="E7" s="127">
        <f>D7*91.89</f>
        <v>505.395</v>
      </c>
      <c r="F7" s="75">
        <v>12</v>
      </c>
      <c r="G7" s="76">
        <f>ROUND(E7*F7,2)</f>
        <v>6064.74</v>
      </c>
      <c r="H7" s="77"/>
    </row>
    <row r="8" spans="1:11" ht="27" customHeight="1">
      <c r="A8" s="69" t="s">
        <v>7</v>
      </c>
      <c r="B8" s="52" t="s">
        <v>49</v>
      </c>
      <c r="C8" s="59" t="s">
        <v>61</v>
      </c>
      <c r="D8" s="59">
        <v>0.75</v>
      </c>
      <c r="E8" s="127">
        <f>D8*644.75</f>
        <v>483.5625</v>
      </c>
      <c r="F8" s="75">
        <v>12</v>
      </c>
      <c r="G8" s="76">
        <f>ROUND(E8*F8,2)</f>
        <v>5802.75</v>
      </c>
      <c r="I8" s="77"/>
      <c r="J8" s="77"/>
      <c r="K8" s="77"/>
    </row>
    <row r="9" spans="1:8" ht="18" customHeight="1">
      <c r="A9" s="69">
        <v>2</v>
      </c>
      <c r="B9" s="55" t="s">
        <v>8</v>
      </c>
      <c r="C9" s="58"/>
      <c r="D9" s="78"/>
      <c r="E9" s="128"/>
      <c r="F9" s="80"/>
      <c r="G9" s="81"/>
      <c r="H9" s="82"/>
    </row>
    <row r="10" spans="1:9" ht="22.5" customHeight="1">
      <c r="A10" s="69" t="s">
        <v>9</v>
      </c>
      <c r="B10" s="52" t="s">
        <v>50</v>
      </c>
      <c r="C10" s="59" t="s">
        <v>39</v>
      </c>
      <c r="D10" s="59">
        <v>0.9</v>
      </c>
      <c r="E10" s="127">
        <f>D10*269.38</f>
        <v>242.442</v>
      </c>
      <c r="F10" s="75">
        <v>12</v>
      </c>
      <c r="G10" s="76">
        <f>ROUND(E10*F10,2)</f>
        <v>2909.3</v>
      </c>
      <c r="I10" s="82"/>
    </row>
    <row r="11" spans="1:9" ht="17.25" customHeight="1" thickBot="1">
      <c r="A11" s="69"/>
      <c r="B11" s="56" t="s">
        <v>10</v>
      </c>
      <c r="C11" s="83"/>
      <c r="D11" s="56"/>
      <c r="E11" s="129" t="s">
        <v>11</v>
      </c>
      <c r="F11" s="84" t="s">
        <v>5</v>
      </c>
      <c r="G11" s="85">
        <f>SUM(G6:G10)</f>
        <v>92480.09000000001</v>
      </c>
      <c r="I11" s="82"/>
    </row>
    <row r="12" spans="1:7" ht="16.5" customHeight="1">
      <c r="A12" s="69"/>
      <c r="B12" s="56" t="s">
        <v>12</v>
      </c>
      <c r="C12" s="86"/>
      <c r="D12" s="87"/>
      <c r="E12" s="157"/>
      <c r="F12" s="87"/>
      <c r="G12" s="89"/>
    </row>
    <row r="13" spans="1:9" ht="18" customHeight="1">
      <c r="A13" s="69">
        <v>3</v>
      </c>
      <c r="B13" s="55" t="s">
        <v>13</v>
      </c>
      <c r="C13" s="58"/>
      <c r="D13" s="78"/>
      <c r="E13" s="158"/>
      <c r="F13" s="80"/>
      <c r="G13" s="90"/>
      <c r="I13" s="91"/>
    </row>
    <row r="14" spans="1:7" ht="27" customHeight="1">
      <c r="A14" s="245" t="s">
        <v>14</v>
      </c>
      <c r="B14" s="52" t="s">
        <v>108</v>
      </c>
      <c r="C14" s="59" t="s">
        <v>62</v>
      </c>
      <c r="D14" s="59">
        <v>4.24</v>
      </c>
      <c r="E14" s="127">
        <f>D14*1732.22</f>
        <v>7344.612800000001</v>
      </c>
      <c r="F14" s="156">
        <v>1</v>
      </c>
      <c r="G14" s="76">
        <f>ROUND(E14*F14,2)</f>
        <v>7344.61</v>
      </c>
    </row>
    <row r="15" spans="1:7" ht="24.75" customHeight="1">
      <c r="A15" s="246"/>
      <c r="B15" s="52" t="s">
        <v>52</v>
      </c>
      <c r="C15" s="59" t="s">
        <v>46</v>
      </c>
      <c r="D15" s="59">
        <v>1.7</v>
      </c>
      <c r="E15" s="127">
        <f>639.24*D15</f>
        <v>1086.708</v>
      </c>
      <c r="F15" s="156">
        <v>1</v>
      </c>
      <c r="G15" s="76">
        <f>ROUND(E15*F15,2)</f>
        <v>1086.71</v>
      </c>
    </row>
    <row r="16" spans="1:9" ht="39" customHeight="1">
      <c r="A16" s="69" t="s">
        <v>15</v>
      </c>
      <c r="B16" s="52" t="s">
        <v>53</v>
      </c>
      <c r="C16" s="59" t="s">
        <v>63</v>
      </c>
      <c r="D16" s="59">
        <v>9.6</v>
      </c>
      <c r="E16" s="127">
        <f>537.59*D16</f>
        <v>5160.8640000000005</v>
      </c>
      <c r="F16" s="156">
        <v>1</v>
      </c>
      <c r="G16" s="76">
        <f>ROUND(E16*F16,2)</f>
        <v>5160.86</v>
      </c>
      <c r="I16" s="82"/>
    </row>
    <row r="17" spans="1:7" ht="39" customHeight="1">
      <c r="A17" s="69" t="s">
        <v>16</v>
      </c>
      <c r="B17" s="52" t="s">
        <v>54</v>
      </c>
      <c r="C17" s="59" t="s">
        <v>64</v>
      </c>
      <c r="D17" s="59">
        <v>0.55</v>
      </c>
      <c r="E17" s="127">
        <f>466.53*D17</f>
        <v>256.5915</v>
      </c>
      <c r="F17" s="75">
        <v>4</v>
      </c>
      <c r="G17" s="76">
        <f>ROUND(E17*F17,2)</f>
        <v>1026.37</v>
      </c>
    </row>
    <row r="18" spans="1:9" ht="25.5" customHeight="1">
      <c r="A18" s="69" t="s">
        <v>17</v>
      </c>
      <c r="B18" s="52" t="s">
        <v>55</v>
      </c>
      <c r="C18" s="59" t="s">
        <v>39</v>
      </c>
      <c r="D18" s="59">
        <v>0.9</v>
      </c>
      <c r="E18" s="127">
        <f>157.08*D18</f>
        <v>141.372</v>
      </c>
      <c r="F18" s="75">
        <v>4</v>
      </c>
      <c r="G18" s="76">
        <f>ROUND(E18*F18,2)</f>
        <v>565.49</v>
      </c>
      <c r="I18" s="82"/>
    </row>
    <row r="19" spans="1:11" ht="17.25" customHeight="1" thickBot="1">
      <c r="A19" s="92"/>
      <c r="B19" s="57" t="s">
        <v>10</v>
      </c>
      <c r="C19" s="93"/>
      <c r="D19" s="93"/>
      <c r="E19" s="94" t="s">
        <v>5</v>
      </c>
      <c r="F19" s="94" t="s">
        <v>5</v>
      </c>
      <c r="G19" s="85">
        <f>SUM(G14:G18)</f>
        <v>15184.039999999999</v>
      </c>
      <c r="K19" s="95"/>
    </row>
    <row r="20" spans="7:11" ht="12.75" thickBot="1">
      <c r="G20" s="98"/>
      <c r="K20" s="77"/>
    </row>
    <row r="21" spans="2:7" ht="12.75" thickBot="1">
      <c r="B21" s="99" t="s">
        <v>18</v>
      </c>
      <c r="C21" s="100"/>
      <c r="D21" s="101"/>
      <c r="E21" s="102"/>
      <c r="F21" s="102"/>
      <c r="G21" s="103">
        <f>G11+G19</f>
        <v>107664.13</v>
      </c>
    </row>
    <row r="22" spans="2:7" ht="12.75" thickBot="1">
      <c r="B22" s="104"/>
      <c r="C22" s="100"/>
      <c r="D22" s="102"/>
      <c r="E22" s="244" t="s">
        <v>22</v>
      </c>
      <c r="F22" s="244"/>
      <c r="G22" s="105">
        <f>ROUND(E23*G21,2)</f>
        <v>24762.75</v>
      </c>
    </row>
    <row r="23" spans="2:7" ht="12.75" thickBot="1">
      <c r="B23" s="106" t="s">
        <v>23</v>
      </c>
      <c r="C23" s="107"/>
      <c r="D23" s="106"/>
      <c r="E23" s="108">
        <v>0.23</v>
      </c>
      <c r="F23" s="109"/>
      <c r="G23" s="110"/>
    </row>
    <row r="24" spans="2:7" ht="12.75" thickBot="1">
      <c r="B24" s="111" t="s">
        <v>19</v>
      </c>
      <c r="C24" s="112"/>
      <c r="D24" s="113"/>
      <c r="E24" s="114"/>
      <c r="F24" s="114"/>
      <c r="G24" s="115">
        <f>G22+G21</f>
        <v>132426.88</v>
      </c>
    </row>
    <row r="25" ht="12">
      <c r="G25" s="82"/>
    </row>
    <row r="26" spans="5:8" ht="12">
      <c r="E26" s="77"/>
      <c r="F26" s="62" t="s">
        <v>96</v>
      </c>
      <c r="G26" s="82"/>
      <c r="H26" s="77"/>
    </row>
    <row r="27" spans="3:7" ht="12">
      <c r="C27" s="130">
        <v>157.08</v>
      </c>
      <c r="E27" s="77"/>
      <c r="F27" s="62" t="s">
        <v>97</v>
      </c>
      <c r="G27" s="82">
        <f>G21*1.15</f>
        <v>123813.74949999999</v>
      </c>
    </row>
    <row r="28" spans="3:8" ht="12">
      <c r="C28" s="130">
        <v>466.53</v>
      </c>
      <c r="F28" s="62" t="s">
        <v>98</v>
      </c>
      <c r="G28" s="77">
        <f>G27*1.23</f>
        <v>152290.91188499998</v>
      </c>
      <c r="H28" s="82"/>
    </row>
    <row r="29" spans="3:7" ht="12">
      <c r="C29" s="130">
        <v>537.59</v>
      </c>
      <c r="G29" s="77"/>
    </row>
    <row r="30" spans="3:5" ht="12">
      <c r="C30" s="130">
        <v>269.38</v>
      </c>
      <c r="D30" s="117"/>
      <c r="E30" s="77"/>
    </row>
    <row r="31" ht="12">
      <c r="C31" s="130">
        <v>644.75</v>
      </c>
    </row>
    <row r="32" spans="3:4" ht="12">
      <c r="C32" s="130">
        <v>91.89</v>
      </c>
      <c r="D32" s="117"/>
    </row>
    <row r="33" ht="12">
      <c r="C33" s="130">
        <v>1726.74</v>
      </c>
    </row>
    <row r="34" spans="3:4" ht="12">
      <c r="C34" s="131">
        <f>SUM(C27:C33)</f>
        <v>3893.96</v>
      </c>
      <c r="D34" s="82">
        <f>C34-K55</f>
        <v>537.5900000000006</v>
      </c>
    </row>
    <row r="39" ht="12.75" thickBot="1"/>
    <row r="40" spans="1:10" ht="30.75" thickBot="1">
      <c r="A40" s="267" t="s">
        <v>66</v>
      </c>
      <c r="B40" s="132" t="s">
        <v>67</v>
      </c>
      <c r="C40" s="133" t="s">
        <v>68</v>
      </c>
      <c r="D40" s="270" t="s">
        <v>69</v>
      </c>
      <c r="E40" s="271"/>
      <c r="F40" s="133" t="s">
        <v>70</v>
      </c>
      <c r="G40" s="280" t="s">
        <v>71</v>
      </c>
      <c r="H40" s="281"/>
      <c r="I40" s="281"/>
      <c r="J40" s="282"/>
    </row>
    <row r="41" spans="1:10" ht="15.75" thickBot="1">
      <c r="A41" s="268"/>
      <c r="B41" s="270" t="s">
        <v>72</v>
      </c>
      <c r="C41" s="283"/>
      <c r="D41" s="283"/>
      <c r="E41" s="284"/>
      <c r="F41" s="282" t="s">
        <v>73</v>
      </c>
      <c r="G41" s="286" t="s">
        <v>74</v>
      </c>
      <c r="H41" s="287"/>
      <c r="I41" s="287"/>
      <c r="J41" s="288"/>
    </row>
    <row r="42" spans="1:10" ht="45.75" thickBot="1">
      <c r="A42" s="268"/>
      <c r="B42" s="134" t="s">
        <v>75</v>
      </c>
      <c r="C42" s="135" t="s">
        <v>76</v>
      </c>
      <c r="D42" s="137" t="s">
        <v>78</v>
      </c>
      <c r="E42" s="155" t="s">
        <v>79</v>
      </c>
      <c r="F42" s="285"/>
      <c r="G42" s="289" t="s">
        <v>80</v>
      </c>
      <c r="H42" s="290"/>
      <c r="I42" s="291" t="s">
        <v>81</v>
      </c>
      <c r="J42" s="292"/>
    </row>
    <row r="43" spans="1:10" ht="15">
      <c r="A43" s="268"/>
      <c r="B43" s="277"/>
      <c r="C43" s="135" t="s">
        <v>77</v>
      </c>
      <c r="D43" s="276" t="s">
        <v>82</v>
      </c>
      <c r="E43" s="134" t="s">
        <v>83</v>
      </c>
      <c r="F43" s="293" t="s">
        <v>82</v>
      </c>
      <c r="G43" s="276" t="s">
        <v>85</v>
      </c>
      <c r="H43" s="138" t="s">
        <v>86</v>
      </c>
      <c r="I43" s="138" t="s">
        <v>88</v>
      </c>
      <c r="J43" s="138" t="s">
        <v>90</v>
      </c>
    </row>
    <row r="44" spans="1:10" ht="15.75" thickBot="1">
      <c r="A44" s="269"/>
      <c r="B44" s="279"/>
      <c r="C44" s="136"/>
      <c r="D44" s="279"/>
      <c r="E44" s="139" t="s">
        <v>84</v>
      </c>
      <c r="F44" s="279"/>
      <c r="G44" s="279"/>
      <c r="H44" s="141" t="s">
        <v>87</v>
      </c>
      <c r="I44" s="141" t="s">
        <v>89</v>
      </c>
      <c r="J44" s="141" t="s">
        <v>82</v>
      </c>
    </row>
    <row r="45" spans="1:10" ht="15.75" thickBot="1">
      <c r="A45" s="293" t="s">
        <v>91</v>
      </c>
      <c r="B45" s="142">
        <v>410.99</v>
      </c>
      <c r="C45" s="143">
        <v>30.64</v>
      </c>
      <c r="D45" s="144">
        <v>136.65</v>
      </c>
      <c r="E45" s="144">
        <v>34.4</v>
      </c>
      <c r="F45" s="141"/>
      <c r="G45" s="141"/>
      <c r="H45" s="144">
        <v>9.28</v>
      </c>
      <c r="I45" s="141"/>
      <c r="J45" s="146"/>
    </row>
    <row r="46" spans="1:10" ht="15.75" thickBot="1">
      <c r="A46" s="277"/>
      <c r="B46" s="142">
        <v>412.15</v>
      </c>
      <c r="C46" s="143">
        <v>26.08</v>
      </c>
      <c r="D46" s="144">
        <v>112.38</v>
      </c>
      <c r="E46" s="144">
        <v>36.55</v>
      </c>
      <c r="F46" s="141"/>
      <c r="G46" s="144">
        <v>16.31</v>
      </c>
      <c r="H46" s="144">
        <v>1.8</v>
      </c>
      <c r="I46" s="144"/>
      <c r="J46" s="141"/>
    </row>
    <row r="47" spans="1:10" ht="15.75" thickBot="1">
      <c r="A47" s="278"/>
      <c r="B47" s="142">
        <v>332.42</v>
      </c>
      <c r="C47" s="143">
        <v>23.04</v>
      </c>
      <c r="D47" s="144">
        <v>142.99</v>
      </c>
      <c r="E47" s="144">
        <v>36.21</v>
      </c>
      <c r="F47" s="141"/>
      <c r="G47" s="144">
        <v>10.34</v>
      </c>
      <c r="H47" s="141"/>
      <c r="I47" s="146"/>
      <c r="J47" s="141"/>
    </row>
    <row r="48" spans="1:10" ht="15.75" thickBot="1">
      <c r="A48" s="293" t="s">
        <v>92</v>
      </c>
      <c r="B48" s="142">
        <v>137.33</v>
      </c>
      <c r="C48" s="147"/>
      <c r="D48" s="146"/>
      <c r="E48" s="146"/>
      <c r="F48" s="141"/>
      <c r="G48" s="144">
        <v>8.53</v>
      </c>
      <c r="H48" s="146"/>
      <c r="I48" s="146"/>
      <c r="J48" s="146"/>
    </row>
    <row r="49" spans="1:10" ht="15.75" thickBot="1">
      <c r="A49" s="278"/>
      <c r="B49" s="142">
        <v>265.51</v>
      </c>
      <c r="C49" s="147"/>
      <c r="D49" s="144">
        <v>92.57</v>
      </c>
      <c r="E49" s="146"/>
      <c r="F49" s="141"/>
      <c r="G49" s="146"/>
      <c r="H49" s="146"/>
      <c r="I49" s="146"/>
      <c r="J49" s="146"/>
    </row>
    <row r="50" spans="1:10" ht="15.75" thickBot="1">
      <c r="A50" s="148" t="s">
        <v>93</v>
      </c>
      <c r="B50" s="144">
        <v>168.34</v>
      </c>
      <c r="C50" s="144">
        <v>12.13</v>
      </c>
      <c r="D50" s="144">
        <v>14.98</v>
      </c>
      <c r="E50" s="146"/>
      <c r="F50" s="141">
        <v>175.54</v>
      </c>
      <c r="G50" s="146"/>
      <c r="H50" s="146"/>
      <c r="I50" s="146"/>
      <c r="J50" s="146"/>
    </row>
    <row r="51" spans="1:10" ht="15.75" thickBot="1">
      <c r="A51" s="140" t="s">
        <v>94</v>
      </c>
      <c r="B51" s="149"/>
      <c r="C51" s="149"/>
      <c r="D51" s="149"/>
      <c r="E51" s="149"/>
      <c r="F51" s="138">
        <v>131.86</v>
      </c>
      <c r="G51" s="146"/>
      <c r="H51" s="144">
        <v>110.82</v>
      </c>
      <c r="I51" s="146"/>
      <c r="J51" s="146"/>
    </row>
    <row r="52" spans="1:10" ht="15.75" thickBot="1">
      <c r="A52" s="276" t="s">
        <v>95</v>
      </c>
      <c r="B52" s="150"/>
      <c r="C52" s="150"/>
      <c r="D52" s="150"/>
      <c r="E52" s="150"/>
      <c r="F52" s="151"/>
      <c r="G52" s="146"/>
      <c r="H52" s="146"/>
      <c r="I52" s="144">
        <v>37</v>
      </c>
      <c r="J52" s="146"/>
    </row>
    <row r="53" spans="1:10" ht="13.5" thickBot="1">
      <c r="A53" s="277"/>
      <c r="B53" s="152"/>
      <c r="C53" s="152"/>
      <c r="D53" s="152"/>
      <c r="E53" s="152"/>
      <c r="F53" s="153"/>
      <c r="G53" s="152"/>
      <c r="H53" s="152"/>
      <c r="I53" s="154">
        <v>299.58</v>
      </c>
      <c r="J53" s="154">
        <v>99.53</v>
      </c>
    </row>
    <row r="54" spans="1:10" ht="13.5" thickBot="1">
      <c r="A54" s="278"/>
      <c r="B54" s="152"/>
      <c r="C54" s="152"/>
      <c r="D54" s="152"/>
      <c r="E54" s="152"/>
      <c r="F54" s="153"/>
      <c r="G54" s="152"/>
      <c r="H54" s="152"/>
      <c r="I54" s="152"/>
      <c r="J54" s="154">
        <v>30.42</v>
      </c>
    </row>
    <row r="55" spans="2:11" ht="12">
      <c r="B55" s="97">
        <f>SUM(B45:B54)</f>
        <v>1726.7399999999998</v>
      </c>
      <c r="C55" s="97">
        <f aca="true" t="shared" si="0" ref="C55:J55">SUM(C45:C54)</f>
        <v>91.88999999999999</v>
      </c>
      <c r="D55" s="97">
        <f t="shared" si="0"/>
        <v>499.57</v>
      </c>
      <c r="E55" s="97">
        <f t="shared" si="0"/>
        <v>107.16</v>
      </c>
      <c r="F55" s="97">
        <f t="shared" si="0"/>
        <v>307.4</v>
      </c>
      <c r="G55" s="97">
        <f t="shared" si="0"/>
        <v>35.18</v>
      </c>
      <c r="H55" s="97">
        <f t="shared" si="0"/>
        <v>121.89999999999999</v>
      </c>
      <c r="I55" s="97">
        <f t="shared" si="0"/>
        <v>336.58</v>
      </c>
      <c r="J55" s="97">
        <f t="shared" si="0"/>
        <v>129.95</v>
      </c>
      <c r="K55" s="62">
        <f>SUM(B55:J55)</f>
        <v>3356.3699999999994</v>
      </c>
    </row>
    <row r="57" ht="12.75" thickBot="1"/>
    <row r="58" spans="2:5" ht="31.5">
      <c r="B58" s="272" t="s">
        <v>66</v>
      </c>
      <c r="C58" s="159" t="s">
        <v>101</v>
      </c>
      <c r="D58" s="274" t="s">
        <v>103</v>
      </c>
      <c r="E58" s="159" t="s">
        <v>104</v>
      </c>
    </row>
    <row r="59" spans="2:5" ht="19.5" thickBot="1">
      <c r="B59" s="273"/>
      <c r="C59" s="160" t="s">
        <v>102</v>
      </c>
      <c r="D59" s="275"/>
      <c r="E59" s="160" t="s">
        <v>102</v>
      </c>
    </row>
    <row r="60" spans="2:5" ht="16.5" thickBot="1">
      <c r="B60" s="264" t="s">
        <v>105</v>
      </c>
      <c r="C60" s="145">
        <v>421.2</v>
      </c>
      <c r="D60" s="145">
        <v>183.04</v>
      </c>
      <c r="E60" s="145"/>
    </row>
    <row r="61" spans="2:5" ht="16.5" thickBot="1">
      <c r="B61" s="265"/>
      <c r="C61" s="145">
        <v>453.6</v>
      </c>
      <c r="D61" s="145">
        <v>168.96</v>
      </c>
      <c r="E61" s="145"/>
    </row>
    <row r="62" spans="2:5" ht="16.5" thickBot="1">
      <c r="B62" s="266"/>
      <c r="C62" s="145">
        <v>369.36</v>
      </c>
      <c r="D62" s="145">
        <f>153.12-4</f>
        <v>149.12</v>
      </c>
      <c r="E62" s="145"/>
    </row>
    <row r="63" spans="2:5" ht="16.5" thickBot="1">
      <c r="B63" s="264" t="s">
        <v>92</v>
      </c>
      <c r="C63" s="145">
        <v>58.32</v>
      </c>
      <c r="D63" s="145">
        <v>3.52</v>
      </c>
      <c r="E63" s="145"/>
    </row>
    <row r="64" spans="2:5" ht="16.5" thickBot="1">
      <c r="B64" s="266"/>
      <c r="C64" s="145">
        <v>136.08</v>
      </c>
      <c r="D64" s="145">
        <v>38.72</v>
      </c>
      <c r="E64" s="145">
        <f>101.51-48.75</f>
        <v>52.760000000000005</v>
      </c>
    </row>
    <row r="65" spans="2:5" ht="16.5" thickBot="1">
      <c r="B65" s="161" t="s">
        <v>106</v>
      </c>
      <c r="C65" s="145">
        <v>134.52</v>
      </c>
      <c r="D65" s="145">
        <v>74.76</v>
      </c>
      <c r="E65" s="145">
        <v>67.5</v>
      </c>
    </row>
    <row r="66" spans="2:6" ht="16.5" thickBot="1">
      <c r="B66" s="161" t="s">
        <v>94</v>
      </c>
      <c r="C66" s="145">
        <v>38.88</v>
      </c>
      <c r="D66" s="145">
        <v>21.12</v>
      </c>
      <c r="E66" s="145">
        <v>0</v>
      </c>
      <c r="F66" s="62">
        <v>-237.8</v>
      </c>
    </row>
    <row r="67" spans="3:5" ht="12">
      <c r="C67" s="96">
        <f>SUM(C60:C66)</f>
        <v>1611.9599999999998</v>
      </c>
      <c r="D67" s="96">
        <f>SUM(D60:D66)</f>
        <v>639.24</v>
      </c>
      <c r="E67" s="62">
        <f>E64+E65+E66</f>
        <v>120.26</v>
      </c>
    </row>
    <row r="70" ht="12">
      <c r="D70" s="97">
        <f>C67+E67</f>
        <v>1732.2199999999998</v>
      </c>
    </row>
  </sheetData>
  <sheetProtection/>
  <mergeCells count="24">
    <mergeCell ref="E22:F22"/>
    <mergeCell ref="A45:A47"/>
    <mergeCell ref="A48:A49"/>
    <mergeCell ref="A1:A2"/>
    <mergeCell ref="B1:B2"/>
    <mergeCell ref="F1:F2"/>
    <mergeCell ref="A14:A15"/>
    <mergeCell ref="B43:B44"/>
    <mergeCell ref="D43:D44"/>
    <mergeCell ref="F43:F44"/>
    <mergeCell ref="G43:G44"/>
    <mergeCell ref="G40:J40"/>
    <mergeCell ref="B41:E41"/>
    <mergeCell ref="F41:F42"/>
    <mergeCell ref="G41:J41"/>
    <mergeCell ref="G42:H42"/>
    <mergeCell ref="I42:J42"/>
    <mergeCell ref="B60:B62"/>
    <mergeCell ref="B63:B64"/>
    <mergeCell ref="A40:A44"/>
    <mergeCell ref="D40:E40"/>
    <mergeCell ref="B58:B59"/>
    <mergeCell ref="D58:D59"/>
    <mergeCell ref="A52:A54"/>
  </mergeCells>
  <printOptions/>
  <pageMargins left="0.45" right="0.4" top="0.45" bottom="0.27" header="0.21" footer="0.21"/>
  <pageSetup horizontalDpi="600" verticalDpi="600" orientation="landscape" paperSize="9" r:id="rId1"/>
  <headerFooter alignWithMargins="0">
    <oddHeader>&amp;CSZACUNKOWA WARTOŚĆ ZAMÓWIENIA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140625" style="96" customWidth="1"/>
    <col min="2" max="2" width="59.00390625" style="97" customWidth="1"/>
    <col min="3" max="3" width="11.8515625" style="96" customWidth="1"/>
    <col min="4" max="4" width="12.7109375" style="97" customWidth="1"/>
    <col min="5" max="5" width="16.140625" style="62" customWidth="1"/>
    <col min="6" max="6" width="12.421875" style="62" customWidth="1"/>
    <col min="7" max="7" width="21.421875" style="62" customWidth="1"/>
    <col min="8" max="8" width="11.140625" style="62" customWidth="1"/>
    <col min="9" max="9" width="11.8515625" style="62" customWidth="1"/>
    <col min="10" max="10" width="11.28125" style="62" customWidth="1"/>
    <col min="11" max="11" width="21.421875" style="62" customWidth="1"/>
    <col min="12" max="16384" width="9.140625" style="62" customWidth="1"/>
  </cols>
  <sheetData>
    <row r="1" spans="1:7" ht="69.75" customHeight="1">
      <c r="A1" s="247" t="s">
        <v>0</v>
      </c>
      <c r="B1" s="247" t="s">
        <v>1</v>
      </c>
      <c r="C1" s="60" t="s">
        <v>57</v>
      </c>
      <c r="D1" s="60" t="s">
        <v>56</v>
      </c>
      <c r="E1" s="60" t="s">
        <v>58</v>
      </c>
      <c r="F1" s="247" t="s">
        <v>21</v>
      </c>
      <c r="G1" s="60" t="s">
        <v>33</v>
      </c>
    </row>
    <row r="2" spans="1:7" ht="12.75" customHeight="1">
      <c r="A2" s="248"/>
      <c r="B2" s="248"/>
      <c r="C2" s="61" t="s">
        <v>41</v>
      </c>
      <c r="D2" s="61" t="s">
        <v>41</v>
      </c>
      <c r="E2" s="61" t="s">
        <v>20</v>
      </c>
      <c r="F2" s="248"/>
      <c r="G2" s="61" t="s">
        <v>20</v>
      </c>
    </row>
    <row r="3" spans="1:7" ht="12">
      <c r="A3" s="63">
        <v>1</v>
      </c>
      <c r="B3" s="64">
        <v>2</v>
      </c>
      <c r="C3" s="64"/>
      <c r="D3" s="64"/>
      <c r="E3" s="64">
        <v>3</v>
      </c>
      <c r="F3" s="64">
        <v>4</v>
      </c>
      <c r="G3" s="64">
        <v>5</v>
      </c>
    </row>
    <row r="4" spans="1:7" ht="18.75" customHeight="1">
      <c r="A4" s="65"/>
      <c r="B4" s="53" t="s">
        <v>2</v>
      </c>
      <c r="C4" s="66"/>
      <c r="D4" s="67"/>
      <c r="E4" s="67"/>
      <c r="F4" s="67"/>
      <c r="G4" s="68"/>
    </row>
    <row r="5" spans="1:7" ht="22.5" customHeight="1">
      <c r="A5" s="69">
        <v>1</v>
      </c>
      <c r="B5" s="54" t="s">
        <v>3</v>
      </c>
      <c r="C5" s="70"/>
      <c r="D5" s="71"/>
      <c r="E5" s="72"/>
      <c r="F5" s="72"/>
      <c r="G5" s="73"/>
    </row>
    <row r="6" spans="1:7" ht="30.75" customHeight="1">
      <c r="A6" s="69" t="s">
        <v>4</v>
      </c>
      <c r="B6" s="52" t="s">
        <v>65</v>
      </c>
      <c r="C6" s="59" t="s">
        <v>60</v>
      </c>
      <c r="D6" s="59">
        <v>3.75</v>
      </c>
      <c r="E6" s="127">
        <f>D6*1726.74</f>
        <v>6475.275</v>
      </c>
      <c r="F6" s="75">
        <v>12</v>
      </c>
      <c r="G6" s="76">
        <f>ROUND(E6*F6,2)</f>
        <v>77703.3</v>
      </c>
    </row>
    <row r="7" spans="1:8" ht="36" customHeight="1">
      <c r="A7" s="69" t="s">
        <v>6</v>
      </c>
      <c r="B7" s="52" t="s">
        <v>48</v>
      </c>
      <c r="C7" s="59" t="s">
        <v>59</v>
      </c>
      <c r="D7" s="59">
        <v>5.5</v>
      </c>
      <c r="E7" s="127">
        <f>D7*91.89</f>
        <v>505.395</v>
      </c>
      <c r="F7" s="75">
        <v>12</v>
      </c>
      <c r="G7" s="76">
        <f>ROUND(E7*F7,2)</f>
        <v>6064.74</v>
      </c>
      <c r="H7" s="77"/>
    </row>
    <row r="8" spans="1:11" ht="27" customHeight="1">
      <c r="A8" s="69" t="s">
        <v>7</v>
      </c>
      <c r="B8" s="52" t="s">
        <v>49</v>
      </c>
      <c r="C8" s="59" t="s">
        <v>61</v>
      </c>
      <c r="D8" s="59">
        <v>0.75</v>
      </c>
      <c r="E8" s="127">
        <f>D8*644.75</f>
        <v>483.5625</v>
      </c>
      <c r="F8" s="75">
        <v>12</v>
      </c>
      <c r="G8" s="76">
        <f>ROUND(E8*F8,2)</f>
        <v>5802.75</v>
      </c>
      <c r="I8" s="77"/>
      <c r="J8" s="77"/>
      <c r="K8" s="77"/>
    </row>
    <row r="9" spans="1:8" ht="18" customHeight="1">
      <c r="A9" s="69">
        <v>2</v>
      </c>
      <c r="B9" s="55" t="s">
        <v>8</v>
      </c>
      <c r="C9" s="58"/>
      <c r="D9" s="78"/>
      <c r="E9" s="128"/>
      <c r="F9" s="80"/>
      <c r="G9" s="81"/>
      <c r="H9" s="82"/>
    </row>
    <row r="10" spans="1:9" ht="22.5" customHeight="1">
      <c r="A10" s="69" t="s">
        <v>9</v>
      </c>
      <c r="B10" s="52" t="s">
        <v>50</v>
      </c>
      <c r="C10" s="59" t="s">
        <v>39</v>
      </c>
      <c r="D10" s="59">
        <v>0.9</v>
      </c>
      <c r="E10" s="127">
        <f>D10*269.38</f>
        <v>242.442</v>
      </c>
      <c r="F10" s="75">
        <v>12</v>
      </c>
      <c r="G10" s="76">
        <f>ROUND(E10*F10,2)</f>
        <v>2909.3</v>
      </c>
      <c r="I10" s="82"/>
    </row>
    <row r="11" spans="1:9" ht="17.25" customHeight="1" thickBot="1">
      <c r="A11" s="69"/>
      <c r="B11" s="56" t="s">
        <v>10</v>
      </c>
      <c r="C11" s="83"/>
      <c r="D11" s="56"/>
      <c r="E11" s="129" t="s">
        <v>11</v>
      </c>
      <c r="F11" s="84" t="s">
        <v>5</v>
      </c>
      <c r="G11" s="85">
        <f>SUM(G6:G10)</f>
        <v>92480.09000000001</v>
      </c>
      <c r="H11" s="62">
        <f>G11/12</f>
        <v>7706.674166666668</v>
      </c>
      <c r="I11" s="82">
        <f>H11*1.23</f>
        <v>9479.209225</v>
      </c>
    </row>
    <row r="12" spans="1:7" ht="16.5" customHeight="1">
      <c r="A12" s="69"/>
      <c r="B12" s="56" t="s">
        <v>12</v>
      </c>
      <c r="C12" s="86"/>
      <c r="D12" s="87"/>
      <c r="E12" s="157"/>
      <c r="F12" s="87"/>
      <c r="G12" s="89"/>
    </row>
    <row r="13" spans="1:9" ht="18" customHeight="1">
      <c r="A13" s="69">
        <v>3</v>
      </c>
      <c r="B13" s="55" t="s">
        <v>13</v>
      </c>
      <c r="C13" s="58"/>
      <c r="D13" s="78"/>
      <c r="E13" s="158"/>
      <c r="F13" s="80"/>
      <c r="G13" s="90"/>
      <c r="I13" s="91"/>
    </row>
    <row r="14" spans="1:7" ht="27" customHeight="1">
      <c r="A14" s="245" t="s">
        <v>14</v>
      </c>
      <c r="B14" s="52" t="s">
        <v>108</v>
      </c>
      <c r="C14" s="59" t="s">
        <v>62</v>
      </c>
      <c r="D14" s="59">
        <v>4.24</v>
      </c>
      <c r="E14" s="127">
        <f>D14*1732.22</f>
        <v>7344.612800000001</v>
      </c>
      <c r="F14" s="156">
        <v>1</v>
      </c>
      <c r="G14" s="76">
        <f>ROUND(E14*F14,2)</f>
        <v>7344.61</v>
      </c>
    </row>
    <row r="15" spans="1:7" ht="24.75" customHeight="1">
      <c r="A15" s="246"/>
      <c r="B15" s="52" t="s">
        <v>52</v>
      </c>
      <c r="C15" s="59" t="s">
        <v>46</v>
      </c>
      <c r="D15" s="59">
        <v>1.7</v>
      </c>
      <c r="E15" s="127">
        <f>643.24*D15</f>
        <v>1093.508</v>
      </c>
      <c r="F15" s="156">
        <v>1</v>
      </c>
      <c r="G15" s="76">
        <f>ROUND(E15*F15,2)</f>
        <v>1093.51</v>
      </c>
    </row>
    <row r="16" spans="1:9" ht="39" customHeight="1">
      <c r="A16" s="69" t="s">
        <v>15</v>
      </c>
      <c r="B16" s="52" t="s">
        <v>53</v>
      </c>
      <c r="C16" s="59" t="s">
        <v>63</v>
      </c>
      <c r="D16" s="59">
        <v>9.6</v>
      </c>
      <c r="E16" s="127">
        <f>537.59*D16</f>
        <v>5160.8640000000005</v>
      </c>
      <c r="F16" s="156">
        <v>1</v>
      </c>
      <c r="G16" s="76">
        <f>ROUND(E16*F16,2)</f>
        <v>5160.86</v>
      </c>
      <c r="I16" s="82"/>
    </row>
    <row r="17" spans="1:7" ht="39" customHeight="1">
      <c r="A17" s="69" t="s">
        <v>16</v>
      </c>
      <c r="B17" s="52" t="s">
        <v>54</v>
      </c>
      <c r="C17" s="59" t="s">
        <v>64</v>
      </c>
      <c r="D17" s="59">
        <v>0.55</v>
      </c>
      <c r="E17" s="127">
        <f>466.53*D17</f>
        <v>256.5915</v>
      </c>
      <c r="F17" s="75">
        <v>4</v>
      </c>
      <c r="G17" s="76">
        <f>ROUND(E17*F17,2)</f>
        <v>1026.37</v>
      </c>
    </row>
    <row r="18" spans="1:9" ht="25.5" customHeight="1">
      <c r="A18" s="69" t="s">
        <v>17</v>
      </c>
      <c r="B18" s="52" t="s">
        <v>55</v>
      </c>
      <c r="C18" s="59" t="s">
        <v>39</v>
      </c>
      <c r="D18" s="59">
        <v>0.9</v>
      </c>
      <c r="E18" s="127">
        <f>157.08*D18</f>
        <v>141.372</v>
      </c>
      <c r="F18" s="75">
        <v>4</v>
      </c>
      <c r="G18" s="76">
        <f>ROUND(E18*F18,2)</f>
        <v>565.49</v>
      </c>
      <c r="I18" s="82"/>
    </row>
    <row r="19" spans="1:11" ht="17.25" customHeight="1" thickBot="1">
      <c r="A19" s="92"/>
      <c r="B19" s="57" t="s">
        <v>10</v>
      </c>
      <c r="C19" s="93"/>
      <c r="D19" s="93"/>
      <c r="E19" s="94" t="s">
        <v>5</v>
      </c>
      <c r="F19" s="94" t="s">
        <v>5</v>
      </c>
      <c r="G19" s="85">
        <f>SUM(G14:G18)</f>
        <v>15190.839999999998</v>
      </c>
      <c r="K19" s="95"/>
    </row>
    <row r="20" spans="7:11" ht="12.75" thickBot="1">
      <c r="G20" s="98"/>
      <c r="K20" s="77"/>
    </row>
    <row r="21" spans="2:7" ht="12.75" thickBot="1">
      <c r="B21" s="99" t="s">
        <v>18</v>
      </c>
      <c r="C21" s="100"/>
      <c r="D21" s="101"/>
      <c r="E21" s="102"/>
      <c r="F21" s="102"/>
      <c r="G21" s="103">
        <f>G11+G19</f>
        <v>107670.93000000001</v>
      </c>
    </row>
    <row r="22" spans="2:7" ht="12.75" thickBot="1">
      <c r="B22" s="104"/>
      <c r="C22" s="100"/>
      <c r="D22" s="102"/>
      <c r="E22" s="244" t="s">
        <v>22</v>
      </c>
      <c r="F22" s="244"/>
      <c r="G22" s="105">
        <f>ROUND(E23*G21,2)</f>
        <v>24764.31</v>
      </c>
    </row>
    <row r="23" spans="2:7" ht="12.75" thickBot="1">
      <c r="B23" s="106" t="s">
        <v>23</v>
      </c>
      <c r="C23" s="107"/>
      <c r="D23" s="106"/>
      <c r="E23" s="108">
        <v>0.23</v>
      </c>
      <c r="F23" s="109"/>
      <c r="G23" s="110"/>
    </row>
    <row r="24" spans="2:7" ht="12.75" thickBot="1">
      <c r="B24" s="111" t="s">
        <v>19</v>
      </c>
      <c r="C24" s="112"/>
      <c r="D24" s="113"/>
      <c r="E24" s="114"/>
      <c r="F24" s="114"/>
      <c r="G24" s="115">
        <f>G22+G21</f>
        <v>132435.24000000002</v>
      </c>
    </row>
    <row r="25" ht="12">
      <c r="G25" s="82"/>
    </row>
    <row r="26" spans="5:8" ht="12">
      <c r="E26" s="77"/>
      <c r="F26" s="62" t="s">
        <v>96</v>
      </c>
      <c r="G26" s="82"/>
      <c r="H26" s="77"/>
    </row>
    <row r="27" spans="3:7" ht="12">
      <c r="C27" s="130">
        <v>157.08</v>
      </c>
      <c r="E27" s="77"/>
      <c r="F27" s="62" t="s">
        <v>97</v>
      </c>
      <c r="G27" s="82">
        <f>G21*1.15</f>
        <v>123821.5695</v>
      </c>
    </row>
    <row r="28" spans="3:8" ht="12">
      <c r="C28" s="130">
        <v>466.53</v>
      </c>
      <c r="F28" s="62" t="s">
        <v>98</v>
      </c>
      <c r="G28" s="77">
        <f>G27*1.23</f>
        <v>152300.530485</v>
      </c>
      <c r="H28" s="82"/>
    </row>
    <row r="29" spans="3:7" ht="12">
      <c r="C29" s="130">
        <v>537.59</v>
      </c>
      <c r="F29" s="167" t="s">
        <v>97</v>
      </c>
      <c r="G29" s="166">
        <f>G27/4.0196</f>
        <v>30804.45056722062</v>
      </c>
    </row>
    <row r="30" spans="3:5" ht="12">
      <c r="C30" s="130">
        <v>269.38</v>
      </c>
      <c r="D30" s="117"/>
      <c r="E30" s="77"/>
    </row>
    <row r="31" ht="12">
      <c r="C31" s="130">
        <v>644.75</v>
      </c>
    </row>
    <row r="32" spans="3:4" ht="12">
      <c r="C32" s="130">
        <v>91.89</v>
      </c>
      <c r="D32" s="117"/>
    </row>
    <row r="33" spans="3:7" ht="12">
      <c r="C33" s="130">
        <v>1726.74</v>
      </c>
      <c r="G33" s="82">
        <f>G24/12</f>
        <v>11036.270000000002</v>
      </c>
    </row>
    <row r="34" spans="3:7" ht="12">
      <c r="C34" s="131">
        <f>SUM(C27:C33)</f>
        <v>3893.96</v>
      </c>
      <c r="D34" s="82">
        <f>C34-K55</f>
        <v>537.5900000000006</v>
      </c>
      <c r="G34" s="82"/>
    </row>
    <row r="35" ht="12">
      <c r="G35" s="82">
        <f>G33*10</f>
        <v>110362.70000000003</v>
      </c>
    </row>
    <row r="36" ht="12">
      <c r="G36" s="82">
        <v>9162</v>
      </c>
    </row>
    <row r="37" ht="12">
      <c r="G37" s="82">
        <f>SUM(G35:G36)</f>
        <v>119524.70000000003</v>
      </c>
    </row>
    <row r="39" ht="12.75" thickBot="1"/>
    <row r="40" spans="1:10" ht="30.75" thickBot="1">
      <c r="A40" s="267" t="s">
        <v>66</v>
      </c>
      <c r="B40" s="132" t="s">
        <v>67</v>
      </c>
      <c r="C40" s="133" t="s">
        <v>68</v>
      </c>
      <c r="D40" s="270" t="s">
        <v>69</v>
      </c>
      <c r="E40" s="271"/>
      <c r="F40" s="133" t="s">
        <v>70</v>
      </c>
      <c r="G40" s="280" t="s">
        <v>71</v>
      </c>
      <c r="H40" s="281"/>
      <c r="I40" s="281"/>
      <c r="J40" s="282"/>
    </row>
    <row r="41" spans="1:10" ht="18" customHeight="1" thickBot="1">
      <c r="A41" s="268"/>
      <c r="B41" s="270" t="s">
        <v>72</v>
      </c>
      <c r="C41" s="283"/>
      <c r="D41" s="283"/>
      <c r="E41" s="284"/>
      <c r="F41" s="282" t="s">
        <v>73</v>
      </c>
      <c r="G41" s="286" t="s">
        <v>74</v>
      </c>
      <c r="H41" s="287"/>
      <c r="I41" s="287"/>
      <c r="J41" s="288"/>
    </row>
    <row r="42" spans="1:10" ht="45.75" thickBot="1">
      <c r="A42" s="268"/>
      <c r="B42" s="134" t="s">
        <v>75</v>
      </c>
      <c r="C42" s="135" t="s">
        <v>76</v>
      </c>
      <c r="D42" s="137" t="s">
        <v>78</v>
      </c>
      <c r="E42" s="155" t="s">
        <v>79</v>
      </c>
      <c r="F42" s="285"/>
      <c r="G42" s="289" t="s">
        <v>80</v>
      </c>
      <c r="H42" s="290"/>
      <c r="I42" s="291" t="s">
        <v>81</v>
      </c>
      <c r="J42" s="292"/>
    </row>
    <row r="43" spans="1:10" ht="15">
      <c r="A43" s="268"/>
      <c r="B43" s="277"/>
      <c r="C43" s="135" t="s">
        <v>77</v>
      </c>
      <c r="D43" s="276" t="s">
        <v>82</v>
      </c>
      <c r="E43" s="134" t="s">
        <v>83</v>
      </c>
      <c r="F43" s="293" t="s">
        <v>82</v>
      </c>
      <c r="G43" s="276" t="s">
        <v>85</v>
      </c>
      <c r="H43" s="138" t="s">
        <v>86</v>
      </c>
      <c r="I43" s="138" t="s">
        <v>88</v>
      </c>
      <c r="J43" s="138" t="s">
        <v>90</v>
      </c>
    </row>
    <row r="44" spans="1:10" ht="15.75" thickBot="1">
      <c r="A44" s="269"/>
      <c r="B44" s="279"/>
      <c r="C44" s="136"/>
      <c r="D44" s="279"/>
      <c r="E44" s="139" t="s">
        <v>84</v>
      </c>
      <c r="F44" s="279"/>
      <c r="G44" s="279"/>
      <c r="H44" s="141" t="s">
        <v>87</v>
      </c>
      <c r="I44" s="141" t="s">
        <v>89</v>
      </c>
      <c r="J44" s="141" t="s">
        <v>82</v>
      </c>
    </row>
    <row r="45" spans="1:10" ht="15.75" thickBot="1">
      <c r="A45" s="293" t="s">
        <v>91</v>
      </c>
      <c r="B45" s="142">
        <v>410.99</v>
      </c>
      <c r="C45" s="143">
        <v>30.64</v>
      </c>
      <c r="D45" s="144">
        <v>136.65</v>
      </c>
      <c r="E45" s="144">
        <v>34.4</v>
      </c>
      <c r="F45" s="141"/>
      <c r="G45" s="141"/>
      <c r="H45" s="144">
        <v>9.28</v>
      </c>
      <c r="I45" s="141"/>
      <c r="J45" s="146"/>
    </row>
    <row r="46" spans="1:10" ht="15.75" thickBot="1">
      <c r="A46" s="277"/>
      <c r="B46" s="142">
        <v>412.15</v>
      </c>
      <c r="C46" s="143">
        <v>26.08</v>
      </c>
      <c r="D46" s="144">
        <v>112.38</v>
      </c>
      <c r="E46" s="144">
        <v>36.55</v>
      </c>
      <c r="F46" s="141"/>
      <c r="G46" s="144">
        <v>16.31</v>
      </c>
      <c r="H46" s="144">
        <v>1.8</v>
      </c>
      <c r="I46" s="144"/>
      <c r="J46" s="141"/>
    </row>
    <row r="47" spans="1:10" ht="15.75" thickBot="1">
      <c r="A47" s="278"/>
      <c r="B47" s="142">
        <v>332.42</v>
      </c>
      <c r="C47" s="143">
        <v>23.04</v>
      </c>
      <c r="D47" s="144">
        <v>142.99</v>
      </c>
      <c r="E47" s="144">
        <v>36.21</v>
      </c>
      <c r="F47" s="141"/>
      <c r="G47" s="144">
        <v>10.34</v>
      </c>
      <c r="H47" s="141"/>
      <c r="I47" s="146"/>
      <c r="J47" s="141"/>
    </row>
    <row r="48" spans="1:10" ht="15.75" thickBot="1">
      <c r="A48" s="293" t="s">
        <v>92</v>
      </c>
      <c r="B48" s="142">
        <v>137.33</v>
      </c>
      <c r="C48" s="147"/>
      <c r="D48" s="146"/>
      <c r="E48" s="146"/>
      <c r="F48" s="141"/>
      <c r="G48" s="144">
        <v>8.53</v>
      </c>
      <c r="H48" s="146"/>
      <c r="I48" s="146"/>
      <c r="J48" s="146"/>
    </row>
    <row r="49" spans="1:10" ht="15.75" thickBot="1">
      <c r="A49" s="278"/>
      <c r="B49" s="142">
        <v>265.51</v>
      </c>
      <c r="C49" s="147"/>
      <c r="D49" s="144">
        <v>92.57</v>
      </c>
      <c r="E49" s="146"/>
      <c r="F49" s="141"/>
      <c r="G49" s="146"/>
      <c r="H49" s="146"/>
      <c r="I49" s="146"/>
      <c r="J49" s="146"/>
    </row>
    <row r="50" spans="1:10" ht="15.75" thickBot="1">
      <c r="A50" s="148" t="s">
        <v>93</v>
      </c>
      <c r="B50" s="144">
        <v>168.34</v>
      </c>
      <c r="C50" s="144">
        <v>12.13</v>
      </c>
      <c r="D50" s="144">
        <v>14.98</v>
      </c>
      <c r="E50" s="146"/>
      <c r="F50" s="141">
        <v>175.54</v>
      </c>
      <c r="G50" s="146"/>
      <c r="H50" s="146"/>
      <c r="I50" s="146"/>
      <c r="J50" s="146"/>
    </row>
    <row r="51" spans="1:10" ht="15.75" thickBot="1">
      <c r="A51" s="140" t="s">
        <v>94</v>
      </c>
      <c r="B51" s="149"/>
      <c r="C51" s="149"/>
      <c r="D51" s="149"/>
      <c r="E51" s="149"/>
      <c r="F51" s="138">
        <v>131.86</v>
      </c>
      <c r="G51" s="146"/>
      <c r="H51" s="144">
        <v>110.82</v>
      </c>
      <c r="I51" s="146"/>
      <c r="J51" s="146"/>
    </row>
    <row r="52" spans="1:10" ht="15.75" thickBot="1">
      <c r="A52" s="276" t="s">
        <v>95</v>
      </c>
      <c r="B52" s="150"/>
      <c r="C52" s="150"/>
      <c r="D52" s="150"/>
      <c r="E52" s="150"/>
      <c r="F52" s="151"/>
      <c r="G52" s="146"/>
      <c r="H52" s="146"/>
      <c r="I52" s="144">
        <v>37</v>
      </c>
      <c r="J52" s="146"/>
    </row>
    <row r="53" spans="1:10" ht="13.5" thickBot="1">
      <c r="A53" s="277"/>
      <c r="B53" s="152"/>
      <c r="C53" s="152"/>
      <c r="D53" s="152"/>
      <c r="E53" s="152"/>
      <c r="F53" s="153"/>
      <c r="G53" s="152"/>
      <c r="H53" s="152"/>
      <c r="I53" s="154">
        <v>299.58</v>
      </c>
      <c r="J53" s="154">
        <v>99.53</v>
      </c>
    </row>
    <row r="54" spans="1:10" ht="13.5" thickBot="1">
      <c r="A54" s="278"/>
      <c r="B54" s="152"/>
      <c r="C54" s="152"/>
      <c r="D54" s="152"/>
      <c r="E54" s="152"/>
      <c r="F54" s="153"/>
      <c r="G54" s="152"/>
      <c r="H54" s="152"/>
      <c r="I54" s="152"/>
      <c r="J54" s="154">
        <v>30.42</v>
      </c>
    </row>
    <row r="55" spans="2:11" ht="12">
      <c r="B55" s="97">
        <f>SUM(B45:B54)</f>
        <v>1726.7399999999998</v>
      </c>
      <c r="C55" s="97">
        <f aca="true" t="shared" si="0" ref="C55:J55">SUM(C45:C54)</f>
        <v>91.88999999999999</v>
      </c>
      <c r="D55" s="97">
        <f t="shared" si="0"/>
        <v>499.57</v>
      </c>
      <c r="E55" s="97">
        <f t="shared" si="0"/>
        <v>107.16</v>
      </c>
      <c r="F55" s="97">
        <f t="shared" si="0"/>
        <v>307.4</v>
      </c>
      <c r="G55" s="97">
        <f t="shared" si="0"/>
        <v>35.18</v>
      </c>
      <c r="H55" s="97">
        <f t="shared" si="0"/>
        <v>121.89999999999999</v>
      </c>
      <c r="I55" s="97">
        <f t="shared" si="0"/>
        <v>336.58</v>
      </c>
      <c r="J55" s="97">
        <f t="shared" si="0"/>
        <v>129.95</v>
      </c>
      <c r="K55" s="62">
        <f>SUM(B55:J55)</f>
        <v>3356.3699999999994</v>
      </c>
    </row>
  </sheetData>
  <sheetProtection/>
  <mergeCells count="20">
    <mergeCell ref="G42:H42"/>
    <mergeCell ref="I42:J42"/>
    <mergeCell ref="G43:G44"/>
    <mergeCell ref="A45:A47"/>
    <mergeCell ref="F43:F44"/>
    <mergeCell ref="F41:F42"/>
    <mergeCell ref="A48:A49"/>
    <mergeCell ref="A52:A54"/>
    <mergeCell ref="A40:A44"/>
    <mergeCell ref="D40:E40"/>
    <mergeCell ref="B43:B44"/>
    <mergeCell ref="D43:D44"/>
    <mergeCell ref="G40:J40"/>
    <mergeCell ref="B41:E41"/>
    <mergeCell ref="A1:A2"/>
    <mergeCell ref="B1:B2"/>
    <mergeCell ref="F1:F2"/>
    <mergeCell ref="A14:A15"/>
    <mergeCell ref="E22:F22"/>
    <mergeCell ref="G41:J41"/>
  </mergeCells>
  <printOptions/>
  <pageMargins left="0.45" right="0.4" top="0.45" bottom="0.27" header="0.21" footer="0.21"/>
  <pageSetup horizontalDpi="600" verticalDpi="600" orientation="landscape" paperSize="9" r:id="rId1"/>
  <headerFooter alignWithMargins="0">
    <oddHeader>&amp;CSZACUNKOWA WARTOŚĆ ZAMÓWIENIA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xSplit="8" ySplit="12" topLeftCell="I1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H6" sqref="H6"/>
    </sheetView>
  </sheetViews>
  <sheetFormatPr defaultColWidth="9.140625" defaultRowHeight="12.75"/>
  <cols>
    <col min="1" max="1" width="6.140625" style="236" customWidth="1"/>
    <col min="2" max="2" width="59.00390625" style="239" customWidth="1"/>
    <col min="3" max="3" width="12.8515625" style="239" customWidth="1"/>
    <col min="4" max="4" width="11.8515625" style="236" customWidth="1"/>
    <col min="5" max="5" width="16.140625" style="169" customWidth="1"/>
    <col min="6" max="6" width="12.421875" style="169" customWidth="1"/>
    <col min="7" max="7" width="17.00390625" style="169" customWidth="1"/>
    <col min="8" max="8" width="14.140625" style="169" customWidth="1"/>
    <col min="9" max="9" width="13.140625" style="169" customWidth="1"/>
    <col min="10" max="10" width="11.28125" style="169" customWidth="1"/>
    <col min="11" max="11" width="21.421875" style="169" customWidth="1"/>
    <col min="12" max="16384" width="9.140625" style="169" customWidth="1"/>
  </cols>
  <sheetData>
    <row r="1" spans="1:7" ht="69.75" customHeight="1">
      <c r="A1" s="295" t="s">
        <v>0</v>
      </c>
      <c r="B1" s="295" t="s">
        <v>1</v>
      </c>
      <c r="C1" s="168" t="s">
        <v>107</v>
      </c>
      <c r="D1" s="162" t="s">
        <v>99</v>
      </c>
      <c r="E1" s="168" t="s">
        <v>100</v>
      </c>
      <c r="F1" s="295" t="s">
        <v>21</v>
      </c>
      <c r="G1" s="168" t="s">
        <v>33</v>
      </c>
    </row>
    <row r="2" spans="1:7" ht="12.75" customHeight="1">
      <c r="A2" s="296"/>
      <c r="B2" s="296"/>
      <c r="C2" s="170"/>
      <c r="D2" s="171" t="s">
        <v>41</v>
      </c>
      <c r="E2" s="170" t="s">
        <v>20</v>
      </c>
      <c r="F2" s="296"/>
      <c r="G2" s="170" t="s">
        <v>20</v>
      </c>
    </row>
    <row r="3" spans="1:7" ht="12">
      <c r="A3" s="172">
        <v>1</v>
      </c>
      <c r="B3" s="173">
        <v>2</v>
      </c>
      <c r="C3" s="173">
        <v>2</v>
      </c>
      <c r="D3" s="173">
        <v>3</v>
      </c>
      <c r="E3" s="173">
        <v>4</v>
      </c>
      <c r="F3" s="173">
        <v>5</v>
      </c>
      <c r="G3" s="173">
        <v>6</v>
      </c>
    </row>
    <row r="4" spans="1:7" ht="18.75" customHeight="1">
      <c r="A4" s="174"/>
      <c r="B4" s="175" t="s">
        <v>2</v>
      </c>
      <c r="C4" s="176"/>
      <c r="D4" s="177"/>
      <c r="E4" s="176"/>
      <c r="F4" s="176"/>
      <c r="G4" s="178"/>
    </row>
    <row r="5" spans="1:7" ht="13.5" customHeight="1">
      <c r="A5" s="179">
        <v>1</v>
      </c>
      <c r="B5" s="180" t="s">
        <v>3</v>
      </c>
      <c r="C5" s="181"/>
      <c r="D5" s="182"/>
      <c r="E5" s="183"/>
      <c r="F5" s="183"/>
      <c r="G5" s="184"/>
    </row>
    <row r="6" spans="1:8" ht="15.75" customHeight="1">
      <c r="A6" s="179" t="s">
        <v>4</v>
      </c>
      <c r="B6" s="185" t="s">
        <v>112</v>
      </c>
      <c r="C6" s="186">
        <v>1726.74</v>
      </c>
      <c r="D6" s="163"/>
      <c r="E6" s="187">
        <f>ROUND(C6*D6,2)</f>
        <v>0</v>
      </c>
      <c r="F6" s="188">
        <v>24</v>
      </c>
      <c r="G6" s="187">
        <f>ROUND(E6*F6,2)</f>
        <v>0</v>
      </c>
      <c r="H6" s="189"/>
    </row>
    <row r="7" spans="1:8" ht="15.75" customHeight="1">
      <c r="A7" s="179" t="s">
        <v>6</v>
      </c>
      <c r="B7" s="185" t="s">
        <v>113</v>
      </c>
      <c r="C7" s="186">
        <v>91.89</v>
      </c>
      <c r="D7" s="163"/>
      <c r="E7" s="187">
        <f>ROUND(C7*D7,2)</f>
        <v>0</v>
      </c>
      <c r="F7" s="188">
        <v>24</v>
      </c>
      <c r="G7" s="187">
        <f>ROUND(E7*F7,2)</f>
        <v>0</v>
      </c>
      <c r="H7" s="190"/>
    </row>
    <row r="8" spans="1:11" ht="18" customHeight="1">
      <c r="A8" s="179" t="s">
        <v>7</v>
      </c>
      <c r="B8" s="185" t="s">
        <v>114</v>
      </c>
      <c r="C8" s="186">
        <v>644.75</v>
      </c>
      <c r="D8" s="163"/>
      <c r="E8" s="187">
        <f>ROUND(C8*D8,2)</f>
        <v>0</v>
      </c>
      <c r="F8" s="188">
        <v>24</v>
      </c>
      <c r="G8" s="187">
        <f>ROUND(E8*F8,2)</f>
        <v>0</v>
      </c>
      <c r="I8" s="190"/>
      <c r="J8" s="190"/>
      <c r="K8" s="190"/>
    </row>
    <row r="9" spans="1:8" ht="18" customHeight="1">
      <c r="A9" s="179">
        <v>2</v>
      </c>
      <c r="B9" s="297" t="s">
        <v>8</v>
      </c>
      <c r="C9" s="298"/>
      <c r="D9" s="298"/>
      <c r="E9" s="298"/>
      <c r="F9" s="298"/>
      <c r="G9" s="299"/>
      <c r="H9" s="191"/>
    </row>
    <row r="10" spans="1:9" ht="21.75" customHeight="1">
      <c r="A10" s="179" t="s">
        <v>9</v>
      </c>
      <c r="B10" s="185" t="s">
        <v>115</v>
      </c>
      <c r="C10" s="186">
        <v>386.62</v>
      </c>
      <c r="D10" s="163"/>
      <c r="E10" s="187">
        <f>ROUND(C10*D10,2)</f>
        <v>0</v>
      </c>
      <c r="F10" s="188">
        <v>24</v>
      </c>
      <c r="G10" s="187">
        <f>ROUND(E10*F10,2)</f>
        <v>0</v>
      </c>
      <c r="I10" s="191"/>
    </row>
    <row r="11" spans="1:9" ht="17.25" customHeight="1">
      <c r="A11" s="179"/>
      <c r="B11" s="192" t="s">
        <v>110</v>
      </c>
      <c r="C11" s="193" t="s">
        <v>5</v>
      </c>
      <c r="D11" s="194" t="s">
        <v>5</v>
      </c>
      <c r="E11" s="193" t="s">
        <v>5</v>
      </c>
      <c r="F11" s="193" t="s">
        <v>5</v>
      </c>
      <c r="G11" s="195">
        <f>SUM(G6:G10)</f>
        <v>0</v>
      </c>
      <c r="H11" s="190"/>
      <c r="I11" s="191"/>
    </row>
    <row r="12" spans="1:9" ht="17.25" customHeight="1">
      <c r="A12" s="179"/>
      <c r="B12" s="196" t="s">
        <v>121</v>
      </c>
      <c r="C12" s="196"/>
      <c r="D12" s="197"/>
      <c r="E12" s="164"/>
      <c r="F12" s="198"/>
      <c r="G12" s="199"/>
      <c r="I12" s="191"/>
    </row>
    <row r="13" spans="1:9" ht="17.25" customHeight="1">
      <c r="A13" s="179"/>
      <c r="B13" s="200"/>
      <c r="C13" s="201"/>
      <c r="D13" s="202"/>
      <c r="E13" s="294" t="s">
        <v>109</v>
      </c>
      <c r="F13" s="294"/>
      <c r="G13" s="187">
        <f>ROUND(G11*E12,2)</f>
        <v>0</v>
      </c>
      <c r="H13" s="190"/>
      <c r="I13" s="191"/>
    </row>
    <row r="14" spans="1:9" ht="17.25" customHeight="1" thickBot="1">
      <c r="A14" s="203"/>
      <c r="B14" s="204" t="s">
        <v>111</v>
      </c>
      <c r="C14" s="205"/>
      <c r="D14" s="206"/>
      <c r="E14" s="207"/>
      <c r="F14" s="207"/>
      <c r="G14" s="208">
        <f>G13+G11</f>
        <v>0</v>
      </c>
      <c r="I14" s="191"/>
    </row>
    <row r="15" spans="1:9" ht="12.75" customHeight="1">
      <c r="A15" s="179"/>
      <c r="B15" s="209"/>
      <c r="C15" s="209"/>
      <c r="D15" s="210"/>
      <c r="E15" s="211"/>
      <c r="F15" s="211"/>
      <c r="G15" s="212"/>
      <c r="I15" s="191"/>
    </row>
    <row r="16" spans="1:7" ht="16.5" customHeight="1">
      <c r="A16" s="179"/>
      <c r="B16" s="192" t="s">
        <v>122</v>
      </c>
      <c r="C16" s="213"/>
      <c r="D16" s="214"/>
      <c r="E16" s="215"/>
      <c r="F16" s="216"/>
      <c r="G16" s="217"/>
    </row>
    <row r="17" spans="1:9" ht="18" customHeight="1">
      <c r="A17" s="179">
        <v>3</v>
      </c>
      <c r="B17" s="218" t="s">
        <v>13</v>
      </c>
      <c r="C17" s="219"/>
      <c r="D17" s="220"/>
      <c r="E17" s="221"/>
      <c r="F17" s="222"/>
      <c r="G17" s="223"/>
      <c r="I17" s="224"/>
    </row>
    <row r="18" spans="1:7" ht="18.75" customHeight="1">
      <c r="A18" s="300" t="s">
        <v>14</v>
      </c>
      <c r="B18" s="185" t="s">
        <v>116</v>
      </c>
      <c r="C18" s="186">
        <f>2018.77-286.55</f>
        <v>1732.22</v>
      </c>
      <c r="D18" s="163"/>
      <c r="E18" s="187">
        <f>ROUND(C18*D18,2)</f>
        <v>0</v>
      </c>
      <c r="F18" s="188">
        <v>2</v>
      </c>
      <c r="G18" s="187">
        <f>ROUND(E18*F18,2)</f>
        <v>0</v>
      </c>
    </row>
    <row r="19" spans="1:7" ht="15.75" customHeight="1">
      <c r="A19" s="301"/>
      <c r="B19" s="185" t="s">
        <v>117</v>
      </c>
      <c r="C19" s="186">
        <f>643.24</f>
        <v>643.24</v>
      </c>
      <c r="D19" s="163"/>
      <c r="E19" s="187">
        <f>ROUND(C19*D19,2)</f>
        <v>0</v>
      </c>
      <c r="F19" s="188">
        <v>2</v>
      </c>
      <c r="G19" s="187">
        <f>ROUND(E19*F19,2)</f>
        <v>0</v>
      </c>
    </row>
    <row r="20" spans="1:9" ht="27.75" customHeight="1">
      <c r="A20" s="179" t="s">
        <v>15</v>
      </c>
      <c r="B20" s="185" t="s">
        <v>118</v>
      </c>
      <c r="C20" s="186">
        <v>537.59</v>
      </c>
      <c r="D20" s="163"/>
      <c r="E20" s="187">
        <f>ROUND(C20*D20,2)</f>
        <v>0</v>
      </c>
      <c r="F20" s="188">
        <v>2</v>
      </c>
      <c r="G20" s="187">
        <f>ROUND(E20*F20,2)</f>
        <v>0</v>
      </c>
      <c r="I20" s="191"/>
    </row>
    <row r="21" spans="1:7" ht="30.75" customHeight="1">
      <c r="A21" s="179" t="s">
        <v>16</v>
      </c>
      <c r="B21" s="185" t="s">
        <v>119</v>
      </c>
      <c r="C21" s="186">
        <v>466.53</v>
      </c>
      <c r="D21" s="163"/>
      <c r="E21" s="187">
        <f>ROUND(C21*D21,2)</f>
        <v>0</v>
      </c>
      <c r="F21" s="188">
        <v>8</v>
      </c>
      <c r="G21" s="187">
        <f>ROUND(E21*F21,2)</f>
        <v>0</v>
      </c>
    </row>
    <row r="22" spans="1:9" ht="22.5" customHeight="1">
      <c r="A22" s="179" t="s">
        <v>17</v>
      </c>
      <c r="B22" s="185" t="s">
        <v>120</v>
      </c>
      <c r="C22" s="186">
        <v>44.46</v>
      </c>
      <c r="D22" s="163"/>
      <c r="E22" s="187">
        <f>ROUND(C22*D22,2)</f>
        <v>0</v>
      </c>
      <c r="F22" s="188">
        <v>8</v>
      </c>
      <c r="G22" s="187">
        <f>ROUND(E22*F22,2)</f>
        <v>0</v>
      </c>
      <c r="I22" s="191"/>
    </row>
    <row r="23" spans="1:11" ht="17.25" customHeight="1">
      <c r="A23" s="225"/>
      <c r="B23" s="226" t="s">
        <v>110</v>
      </c>
      <c r="C23" s="227" t="s">
        <v>5</v>
      </c>
      <c r="D23" s="227" t="s">
        <v>5</v>
      </c>
      <c r="E23" s="227" t="s">
        <v>5</v>
      </c>
      <c r="F23" s="227" t="s">
        <v>5</v>
      </c>
      <c r="G23" s="228">
        <f>SUM(G18:G22)</f>
        <v>0</v>
      </c>
      <c r="K23" s="229"/>
    </row>
    <row r="24" spans="1:11" ht="15" customHeight="1">
      <c r="A24" s="230"/>
      <c r="B24" s="231" t="s">
        <v>121</v>
      </c>
      <c r="C24" s="231"/>
      <c r="D24" s="202"/>
      <c r="E24" s="165"/>
      <c r="F24" s="232"/>
      <c r="G24" s="233"/>
      <c r="K24" s="190"/>
    </row>
    <row r="25" spans="1:8" ht="15.75" customHeight="1">
      <c r="A25" s="230"/>
      <c r="B25" s="200"/>
      <c r="C25" s="201"/>
      <c r="D25" s="202"/>
      <c r="E25" s="294" t="s">
        <v>109</v>
      </c>
      <c r="F25" s="294"/>
      <c r="G25" s="187">
        <f>ROUND(G23*E24,2)</f>
        <v>0</v>
      </c>
      <c r="H25" s="190"/>
    </row>
    <row r="26" spans="1:7" ht="14.25" customHeight="1" thickBot="1">
      <c r="A26" s="234"/>
      <c r="B26" s="204" t="s">
        <v>111</v>
      </c>
      <c r="C26" s="205"/>
      <c r="D26" s="206"/>
      <c r="E26" s="207"/>
      <c r="F26" s="207"/>
      <c r="G26" s="235">
        <f>G25+G23</f>
        <v>0</v>
      </c>
    </row>
    <row r="27" spans="2:7" ht="12">
      <c r="B27" s="196"/>
      <c r="C27" s="196"/>
      <c r="D27" s="210"/>
      <c r="E27" s="198"/>
      <c r="F27" s="198"/>
      <c r="G27" s="237"/>
    </row>
    <row r="28" spans="1:7" ht="12">
      <c r="A28" s="238"/>
      <c r="B28" s="209"/>
      <c r="C28" s="209"/>
      <c r="D28" s="210"/>
      <c r="E28" s="211"/>
      <c r="F28" s="211"/>
      <c r="G28" s="212"/>
    </row>
    <row r="29" ht="12">
      <c r="G29" s="191"/>
    </row>
    <row r="30" spans="5:8" ht="12">
      <c r="E30" s="190"/>
      <c r="G30" s="191"/>
      <c r="H30" s="190"/>
    </row>
    <row r="31" spans="4:7" ht="12">
      <c r="D31" s="240"/>
      <c r="E31" s="190"/>
      <c r="G31" s="191"/>
    </row>
    <row r="32" spans="4:8" ht="12">
      <c r="D32" s="240"/>
      <c r="G32" s="241"/>
      <c r="H32" s="191"/>
    </row>
    <row r="33" spans="4:7" ht="12">
      <c r="D33" s="240"/>
      <c r="G33" s="190"/>
    </row>
    <row r="34" spans="4:5" ht="12">
      <c r="D34" s="240"/>
      <c r="E34" s="190"/>
    </row>
    <row r="35" ht="12">
      <c r="D35" s="240"/>
    </row>
    <row r="36" ht="12">
      <c r="D36" s="240"/>
    </row>
    <row r="37" ht="12">
      <c r="D37" s="240"/>
    </row>
    <row r="38" spans="4:6" ht="12">
      <c r="D38" s="242"/>
      <c r="F38" s="191"/>
    </row>
    <row r="43" spans="6:11" ht="12">
      <c r="F43" s="243"/>
      <c r="G43" s="243"/>
      <c r="H43" s="243"/>
      <c r="I43" s="243"/>
      <c r="J43" s="243"/>
      <c r="K43" s="243"/>
    </row>
  </sheetData>
  <sheetProtection password="CE28" sheet="1"/>
  <mergeCells count="7">
    <mergeCell ref="E25:F25"/>
    <mergeCell ref="A1:A2"/>
    <mergeCell ref="B1:B2"/>
    <mergeCell ref="F1:F2"/>
    <mergeCell ref="B9:G9"/>
    <mergeCell ref="E13:F13"/>
    <mergeCell ref="A18:A19"/>
  </mergeCells>
  <printOptions/>
  <pageMargins left="0.4330708661417323" right="0.3937007874015748" top="0.4330708661417323" bottom="0.2755905511811024" header="0.1968503937007874" footer="0.1968503937007874"/>
  <pageSetup horizontalDpi="600" verticalDpi="600" orientation="landscape" paperSize="9" r:id="rId1"/>
  <headerFooter alignWithMargins="0">
    <oddHeader>&amp;CFORMULARZ CENOWY</oddHeader>
  </headerFooter>
  <ignoredErrors>
    <ignoredError sqref="E6:E8 E10 E18:E22 G6:G8 G10:G11 G13:G14 G18:G23 G25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Gwiazda</dc:creator>
  <cp:keywords/>
  <dc:description/>
  <cp:lastModifiedBy>Cender Iwona</cp:lastModifiedBy>
  <cp:lastPrinted>2013-03-07T12:22:24Z</cp:lastPrinted>
  <dcterms:created xsi:type="dcterms:W3CDTF">2010-08-06T08:31:11Z</dcterms:created>
  <dcterms:modified xsi:type="dcterms:W3CDTF">2013-03-07T13:39:13Z</dcterms:modified>
  <cp:category/>
  <cp:version/>
  <cp:contentType/>
  <cp:contentStatus/>
</cp:coreProperties>
</file>